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0" yWindow="8990" windowWidth="24020" windowHeight="1230"/>
  </bookViews>
  <sheets>
    <sheet name="Power Loss" sheetId="1" r:id="rId1"/>
    <sheet name="Efficiency Summary" sheetId="2" r:id="rId2"/>
    <sheet name="Compensation" sheetId="3" r:id="rId3"/>
  </sheets>
  <definedNames>
    <definedName name="_Cap1">Compensation!$M$30</definedName>
    <definedName name="_cap2">Compensation!$M$31</definedName>
    <definedName name="_Cfb1">Compensation!$C$33</definedName>
    <definedName name="_Cfb2">Compensation!$C$34</definedName>
    <definedName name="_res1">Compensation!$M$29</definedName>
    <definedName name="_Rfb1">Compensation!$C$31</definedName>
    <definedName name="_Rfb2">Compensation!$C$32</definedName>
    <definedName name="Cap">'Power Loss'!$B$32</definedName>
    <definedName name="D">'Power Loss'!$F$19</definedName>
    <definedName name="DCR">'Power Loss'!$B$28</definedName>
    <definedName name="Dmax">Compensation!$M$20</definedName>
    <definedName name="EA_BW">Compensation!$M$26</definedName>
    <definedName name="EA_DC">Compensation!$M$23</definedName>
    <definedName name="Efficiency">'Power Loss'!$B$96</definedName>
    <definedName name="ESR">'Power Loss'!$B$33</definedName>
    <definedName name="F0">Compensation!$C$26</definedName>
    <definedName name="Fc">Compensation!$M$28</definedName>
    <definedName name="Fm">Compensation!$A$43</definedName>
    <definedName name="Fs">'Power Loss'!$B$18</definedName>
    <definedName name="Fstart">Compensation!$C$55</definedName>
    <definedName name="Fstep">Compensation!$C$57</definedName>
    <definedName name="Fstop">Compensation!$C$56</definedName>
    <definedName name="Gdo">Compensation!$C$24</definedName>
    <definedName name="Il_rms">'Power Loss'!$F$23</definedName>
    <definedName name="Imax">'Efficiency Summary'!$B$10</definedName>
    <definedName name="Imin">'Efficiency Summary'!$B$9</definedName>
    <definedName name="Iout">'Power Loss'!$B$21</definedName>
    <definedName name="Irip">'Power Loss'!$F$26</definedName>
    <definedName name="Iu_rms">'Power Loss'!$F$22</definedName>
    <definedName name="LIR">'Power Loss'!$B$24</definedName>
    <definedName name="Lout">'Power Loss'!$B$27</definedName>
    <definedName name="ncap">'Power Loss'!$B$31</definedName>
    <definedName name="Q">Compensation!$C$27</definedName>
    <definedName name="Qn">Compensation!$A$41</definedName>
    <definedName name="Roerr">Compensation!$M$24</definedName>
    <definedName name="Ron_l">'Power Loss'!$B$63</definedName>
    <definedName name="Ron_u">'Power Loss'!$B$46</definedName>
    <definedName name="Rout">'Power Loss'!$F$20</definedName>
    <definedName name="RT">Compensation!$M$20</definedName>
    <definedName name="Se">Compensation!$M$21</definedName>
    <definedName name="Sn">Compensation!$M$22</definedName>
    <definedName name="Step">Compensation!$C$58</definedName>
    <definedName name="Tloss">'Power Loss'!$B$95</definedName>
    <definedName name="VFB">Compensation!$M$25</definedName>
    <definedName name="Vin">'Power Loss'!$B$19</definedName>
    <definedName name="Vout">'Power Loss'!$B$20</definedName>
    <definedName name="wn">Compensation!$A$40</definedName>
  </definedNames>
  <calcPr calcId="145621"/>
</workbook>
</file>

<file path=xl/calcChain.xml><?xml version="1.0" encoding="utf-8"?>
<calcChain xmlns="http://schemas.openxmlformats.org/spreadsheetml/2006/main">
  <c r="A22" i="1" l="1"/>
  <c r="H42" i="1" l="1"/>
  <c r="B39" i="1"/>
  <c r="B36" i="1"/>
  <c r="A27" i="1"/>
  <c r="F34" i="1" l="1"/>
  <c r="F35" i="1" s="1"/>
  <c r="B63" i="1" l="1"/>
  <c r="B46" i="1"/>
  <c r="A19" i="1"/>
  <c r="A20" i="1"/>
  <c r="F36" i="1" l="1"/>
  <c r="G37" i="1" l="1"/>
  <c r="C44" i="2" l="1"/>
  <c r="A13" i="2"/>
  <c r="D72" i="2" l="1"/>
  <c r="D44" i="2"/>
  <c r="E72" i="2" l="1"/>
  <c r="H41" i="2" s="1"/>
  <c r="E44" i="2"/>
  <c r="G32" i="1"/>
  <c r="G31" i="1"/>
  <c r="F44" i="2" l="1"/>
  <c r="H13" i="2"/>
  <c r="G44" i="2"/>
  <c r="E32" i="3"/>
  <c r="M22" i="3" l="1"/>
  <c r="C58" i="3" l="1"/>
  <c r="B80" i="3" s="1"/>
  <c r="C80" i="3" s="1"/>
  <c r="A41" i="3"/>
  <c r="M33" i="3"/>
  <c r="M32" i="3"/>
  <c r="C31" i="3"/>
  <c r="C28" i="3"/>
  <c r="C26" i="3"/>
  <c r="C25" i="3"/>
  <c r="B10" i="2"/>
  <c r="B80" i="1"/>
  <c r="B83" i="1" s="1"/>
  <c r="B79" i="1"/>
  <c r="B74" i="1"/>
  <c r="B58" i="1"/>
  <c r="F26" i="1"/>
  <c r="F20" i="1"/>
  <c r="J263" i="3" s="1"/>
  <c r="E9" i="2" l="1"/>
  <c r="C72" i="2"/>
  <c r="C68" i="2"/>
  <c r="C64" i="2"/>
  <c r="C60" i="2"/>
  <c r="C56" i="2"/>
  <c r="C52" i="2"/>
  <c r="C48" i="2"/>
  <c r="A38" i="2"/>
  <c r="A34" i="2"/>
  <c r="A30" i="2"/>
  <c r="A26" i="2"/>
  <c r="A22" i="2"/>
  <c r="A18" i="2"/>
  <c r="A14" i="2"/>
  <c r="C71" i="2"/>
  <c r="C67" i="2"/>
  <c r="C63" i="2"/>
  <c r="C59" i="2"/>
  <c r="C55" i="2"/>
  <c r="C51" i="2"/>
  <c r="C47" i="2"/>
  <c r="A41" i="2"/>
  <c r="A37" i="2"/>
  <c r="A33" i="2"/>
  <c r="A29" i="2"/>
  <c r="A25" i="2"/>
  <c r="C70" i="2"/>
  <c r="C66" i="2"/>
  <c r="C62" i="2"/>
  <c r="C58" i="2"/>
  <c r="C54" i="2"/>
  <c r="C50" i="2"/>
  <c r="C46" i="2"/>
  <c r="A40" i="2"/>
  <c r="A36" i="2"/>
  <c r="A32" i="2"/>
  <c r="A28" i="2"/>
  <c r="A24" i="2"/>
  <c r="A20" i="2"/>
  <c r="A16" i="2"/>
  <c r="C69" i="2"/>
  <c r="C65" i="2"/>
  <c r="C61" i="2"/>
  <c r="C57" i="2"/>
  <c r="C53" i="2"/>
  <c r="C49" i="2"/>
  <c r="C45" i="2"/>
  <c r="A39" i="2"/>
  <c r="A35" i="2"/>
  <c r="A31" i="2"/>
  <c r="A27" i="2"/>
  <c r="A23" i="2"/>
  <c r="A19" i="2"/>
  <c r="A15" i="2"/>
  <c r="A21" i="2"/>
  <c r="A17" i="2"/>
  <c r="A40" i="3"/>
  <c r="E28" i="1"/>
  <c r="R73" i="3"/>
  <c r="R151" i="3"/>
  <c r="B89" i="1"/>
  <c r="K31" i="1" s="1"/>
  <c r="F27" i="1"/>
  <c r="R89" i="3"/>
  <c r="J173" i="3"/>
  <c r="J109" i="3"/>
  <c r="J205" i="3"/>
  <c r="R130" i="3"/>
  <c r="J237" i="3"/>
  <c r="R65" i="3"/>
  <c r="R81" i="3"/>
  <c r="R98" i="3"/>
  <c r="R119" i="3"/>
  <c r="J141" i="3"/>
  <c r="R162" i="3"/>
  <c r="J189" i="3"/>
  <c r="J221" i="3"/>
  <c r="R69" i="3"/>
  <c r="R85" i="3"/>
  <c r="R103" i="3"/>
  <c r="J125" i="3"/>
  <c r="R146" i="3"/>
  <c r="R167" i="3"/>
  <c r="J197" i="3"/>
  <c r="J229" i="3"/>
  <c r="R77" i="3"/>
  <c r="R93" i="3"/>
  <c r="R114" i="3"/>
  <c r="R135" i="3"/>
  <c r="J157" i="3"/>
  <c r="J181" i="3"/>
  <c r="J213" i="3"/>
  <c r="J249" i="3"/>
  <c r="J66" i="3"/>
  <c r="J74" i="3"/>
  <c r="J82" i="3"/>
  <c r="J90" i="3"/>
  <c r="J99" i="3"/>
  <c r="R109" i="3"/>
  <c r="R120" i="3"/>
  <c r="J131" i="3"/>
  <c r="R141" i="3"/>
  <c r="J147" i="3"/>
  <c r="R157" i="3"/>
  <c r="R168" i="3"/>
  <c r="R189" i="3"/>
  <c r="R213" i="3"/>
  <c r="C24" i="3"/>
  <c r="R67" i="3"/>
  <c r="R71" i="3"/>
  <c r="R75" i="3"/>
  <c r="R79" i="3"/>
  <c r="R83" i="3"/>
  <c r="R87" i="3"/>
  <c r="R91" i="3"/>
  <c r="R95" i="3"/>
  <c r="J101" i="3"/>
  <c r="R106" i="3"/>
  <c r="R111" i="3"/>
  <c r="J117" i="3"/>
  <c r="R122" i="3"/>
  <c r="R127" i="3"/>
  <c r="J133" i="3"/>
  <c r="R138" i="3"/>
  <c r="R143" i="3"/>
  <c r="J149" i="3"/>
  <c r="R154" i="3"/>
  <c r="R159" i="3"/>
  <c r="J165" i="3"/>
  <c r="R170" i="3"/>
  <c r="J177" i="3"/>
  <c r="J185" i="3"/>
  <c r="J193" i="3"/>
  <c r="J201" i="3"/>
  <c r="J209" i="3"/>
  <c r="J217" i="3"/>
  <c r="J225" i="3"/>
  <c r="J233" i="3"/>
  <c r="J241" i="3"/>
  <c r="J257" i="3"/>
  <c r="J70" i="3"/>
  <c r="J78" i="3"/>
  <c r="J86" i="3"/>
  <c r="J94" i="3"/>
  <c r="R104" i="3"/>
  <c r="J115" i="3"/>
  <c r="R125" i="3"/>
  <c r="R136" i="3"/>
  <c r="R152" i="3"/>
  <c r="J163" i="3"/>
  <c r="R173" i="3"/>
  <c r="R181" i="3"/>
  <c r="R197" i="3"/>
  <c r="R205" i="3"/>
  <c r="R221" i="3"/>
  <c r="R229" i="3"/>
  <c r="R237" i="3"/>
  <c r="J253" i="3"/>
  <c r="J64" i="3"/>
  <c r="J68" i="3"/>
  <c r="J72" i="3"/>
  <c r="J76" i="3"/>
  <c r="J80" i="3"/>
  <c r="J84" i="3"/>
  <c r="J88" i="3"/>
  <c r="J92" i="3"/>
  <c r="R96" i="3"/>
  <c r="R101" i="3"/>
  <c r="J107" i="3"/>
  <c r="R112" i="3"/>
  <c r="R117" i="3"/>
  <c r="J123" i="3"/>
  <c r="R128" i="3"/>
  <c r="R133" i="3"/>
  <c r="J139" i="3"/>
  <c r="R144" i="3"/>
  <c r="R149" i="3"/>
  <c r="J155" i="3"/>
  <c r="R160" i="3"/>
  <c r="R165" i="3"/>
  <c r="J171" i="3"/>
  <c r="R177" i="3"/>
  <c r="R185" i="3"/>
  <c r="R193" i="3"/>
  <c r="R201" i="3"/>
  <c r="R209" i="3"/>
  <c r="R217" i="3"/>
  <c r="R225" i="3"/>
  <c r="R233" i="3"/>
  <c r="J245" i="3"/>
  <c r="J261" i="3"/>
  <c r="R241" i="3"/>
  <c r="R245" i="3"/>
  <c r="R249" i="3"/>
  <c r="R253" i="3"/>
  <c r="R257" i="3"/>
  <c r="R261" i="3"/>
  <c r="R64" i="3"/>
  <c r="R66" i="3"/>
  <c r="R68" i="3"/>
  <c r="R70" i="3"/>
  <c r="R72" i="3"/>
  <c r="R74" i="3"/>
  <c r="R76" i="3"/>
  <c r="R78" i="3"/>
  <c r="R80" i="3"/>
  <c r="R82" i="3"/>
  <c r="R84" i="3"/>
  <c r="R86" i="3"/>
  <c r="R88" i="3"/>
  <c r="R90" i="3"/>
  <c r="R92" i="3"/>
  <c r="R94" i="3"/>
  <c r="J97" i="3"/>
  <c r="R99" i="3"/>
  <c r="R102" i="3"/>
  <c r="J105" i="3"/>
  <c r="R107" i="3"/>
  <c r="R110" i="3"/>
  <c r="J113" i="3"/>
  <c r="R115" i="3"/>
  <c r="R118" i="3"/>
  <c r="J121" i="3"/>
  <c r="R123" i="3"/>
  <c r="R126" i="3"/>
  <c r="J129" i="3"/>
  <c r="R131" i="3"/>
  <c r="R134" i="3"/>
  <c r="J137" i="3"/>
  <c r="R139" i="3"/>
  <c r="R142" i="3"/>
  <c r="J145" i="3"/>
  <c r="R147" i="3"/>
  <c r="R150" i="3"/>
  <c r="J153" i="3"/>
  <c r="R155" i="3"/>
  <c r="R158" i="3"/>
  <c r="J161" i="3"/>
  <c r="R163" i="3"/>
  <c r="R166" i="3"/>
  <c r="J169" i="3"/>
  <c r="R171" i="3"/>
  <c r="J175" i="3"/>
  <c r="J179" i="3"/>
  <c r="J183" i="3"/>
  <c r="J187" i="3"/>
  <c r="J191" i="3"/>
  <c r="J195" i="3"/>
  <c r="J199" i="3"/>
  <c r="J203" i="3"/>
  <c r="J207" i="3"/>
  <c r="J211" i="3"/>
  <c r="J215" i="3"/>
  <c r="J219" i="3"/>
  <c r="J223" i="3"/>
  <c r="J227" i="3"/>
  <c r="J231" i="3"/>
  <c r="J235" i="3"/>
  <c r="J239" i="3"/>
  <c r="J243" i="3"/>
  <c r="J247" i="3"/>
  <c r="J251" i="3"/>
  <c r="J255" i="3"/>
  <c r="J259" i="3"/>
  <c r="R264" i="3"/>
  <c r="R262" i="3"/>
  <c r="R260" i="3"/>
  <c r="R258" i="3"/>
  <c r="R256" i="3"/>
  <c r="R254" i="3"/>
  <c r="R252" i="3"/>
  <c r="R250" i="3"/>
  <c r="R248" i="3"/>
  <c r="R246" i="3"/>
  <c r="R244" i="3"/>
  <c r="R242" i="3"/>
  <c r="R240" i="3"/>
  <c r="R238" i="3"/>
  <c r="R236" i="3"/>
  <c r="R234" i="3"/>
  <c r="R232" i="3"/>
  <c r="R230" i="3"/>
  <c r="R228" i="3"/>
  <c r="R226" i="3"/>
  <c r="R224" i="3"/>
  <c r="R222" i="3"/>
  <c r="R220" i="3"/>
  <c r="R218" i="3"/>
  <c r="R216" i="3"/>
  <c r="R214" i="3"/>
  <c r="R212" i="3"/>
  <c r="R210" i="3"/>
  <c r="R208" i="3"/>
  <c r="R206" i="3"/>
  <c r="R204" i="3"/>
  <c r="R202" i="3"/>
  <c r="R200" i="3"/>
  <c r="R198" i="3"/>
  <c r="R196" i="3"/>
  <c r="R194" i="3"/>
  <c r="R192" i="3"/>
  <c r="R190" i="3"/>
  <c r="R188" i="3"/>
  <c r="R186" i="3"/>
  <c r="R184" i="3"/>
  <c r="R182" i="3"/>
  <c r="R180" i="3"/>
  <c r="R178" i="3"/>
  <c r="R176" i="3"/>
  <c r="R174" i="3"/>
  <c r="J264" i="3"/>
  <c r="J262" i="3"/>
  <c r="J260" i="3"/>
  <c r="J258" i="3"/>
  <c r="J256" i="3"/>
  <c r="J254" i="3"/>
  <c r="J252" i="3"/>
  <c r="J250" i="3"/>
  <c r="J248" i="3"/>
  <c r="J246" i="3"/>
  <c r="J244" i="3"/>
  <c r="J242" i="3"/>
  <c r="J240" i="3"/>
  <c r="J238" i="3"/>
  <c r="J236" i="3"/>
  <c r="J234" i="3"/>
  <c r="J232" i="3"/>
  <c r="J230" i="3"/>
  <c r="J228" i="3"/>
  <c r="J226" i="3"/>
  <c r="J224" i="3"/>
  <c r="J222" i="3"/>
  <c r="J220" i="3"/>
  <c r="J218" i="3"/>
  <c r="J216" i="3"/>
  <c r="J214" i="3"/>
  <c r="J212" i="3"/>
  <c r="J210" i="3"/>
  <c r="J208" i="3"/>
  <c r="J206" i="3"/>
  <c r="J204" i="3"/>
  <c r="J202" i="3"/>
  <c r="J200" i="3"/>
  <c r="J198" i="3"/>
  <c r="J196" i="3"/>
  <c r="J194" i="3"/>
  <c r="J192" i="3"/>
  <c r="J190" i="3"/>
  <c r="J188" i="3"/>
  <c r="J186" i="3"/>
  <c r="J184" i="3"/>
  <c r="J182" i="3"/>
  <c r="J180" i="3"/>
  <c r="J178" i="3"/>
  <c r="J176" i="3"/>
  <c r="J174" i="3"/>
  <c r="J172" i="3"/>
  <c r="J170" i="3"/>
  <c r="J168" i="3"/>
  <c r="J166" i="3"/>
  <c r="J164" i="3"/>
  <c r="J162" i="3"/>
  <c r="J160" i="3"/>
  <c r="J158" i="3"/>
  <c r="J156" i="3"/>
  <c r="J154" i="3"/>
  <c r="J152" i="3"/>
  <c r="J150" i="3"/>
  <c r="J148" i="3"/>
  <c r="J146" i="3"/>
  <c r="J144" i="3"/>
  <c r="J142" i="3"/>
  <c r="J140" i="3"/>
  <c r="J138" i="3"/>
  <c r="J136" i="3"/>
  <c r="J134" i="3"/>
  <c r="J132" i="3"/>
  <c r="J130" i="3"/>
  <c r="J128" i="3"/>
  <c r="J126" i="3"/>
  <c r="J124" i="3"/>
  <c r="J122" i="3"/>
  <c r="J120" i="3"/>
  <c r="J118" i="3"/>
  <c r="J116" i="3"/>
  <c r="J114" i="3"/>
  <c r="J112" i="3"/>
  <c r="J110" i="3"/>
  <c r="J108" i="3"/>
  <c r="J106" i="3"/>
  <c r="J104" i="3"/>
  <c r="J102" i="3"/>
  <c r="J100" i="3"/>
  <c r="J98" i="3"/>
  <c r="J96" i="3"/>
  <c r="J65" i="3"/>
  <c r="J67" i="3"/>
  <c r="J69" i="3"/>
  <c r="J71" i="3"/>
  <c r="J73" i="3"/>
  <c r="J75" i="3"/>
  <c r="J77" i="3"/>
  <c r="J79" i="3"/>
  <c r="J81" i="3"/>
  <c r="J83" i="3"/>
  <c r="J85" i="3"/>
  <c r="J87" i="3"/>
  <c r="J89" i="3"/>
  <c r="J91" i="3"/>
  <c r="J93" i="3"/>
  <c r="J95" i="3"/>
  <c r="R97" i="3"/>
  <c r="R100" i="3"/>
  <c r="J103" i="3"/>
  <c r="R105" i="3"/>
  <c r="R108" i="3"/>
  <c r="J111" i="3"/>
  <c r="R113" i="3"/>
  <c r="R116" i="3"/>
  <c r="J119" i="3"/>
  <c r="R121" i="3"/>
  <c r="R124" i="3"/>
  <c r="J127" i="3"/>
  <c r="R129" i="3"/>
  <c r="R132" i="3"/>
  <c r="J135" i="3"/>
  <c r="R137" i="3"/>
  <c r="R140" i="3"/>
  <c r="J143" i="3"/>
  <c r="R145" i="3"/>
  <c r="R148" i="3"/>
  <c r="J151" i="3"/>
  <c r="R153" i="3"/>
  <c r="R156" i="3"/>
  <c r="J159" i="3"/>
  <c r="R161" i="3"/>
  <c r="R164" i="3"/>
  <c r="J167" i="3"/>
  <c r="R169" i="3"/>
  <c r="R172" i="3"/>
  <c r="R175" i="3"/>
  <c r="R179" i="3"/>
  <c r="R183" i="3"/>
  <c r="R187" i="3"/>
  <c r="R191" i="3"/>
  <c r="R195" i="3"/>
  <c r="R199" i="3"/>
  <c r="R203" i="3"/>
  <c r="R207" i="3"/>
  <c r="R211" i="3"/>
  <c r="R215" i="3"/>
  <c r="R219" i="3"/>
  <c r="R223" i="3"/>
  <c r="R227" i="3"/>
  <c r="R231" i="3"/>
  <c r="R235" i="3"/>
  <c r="R239" i="3"/>
  <c r="R243" i="3"/>
  <c r="R247" i="3"/>
  <c r="R251" i="3"/>
  <c r="R255" i="3"/>
  <c r="R259" i="3"/>
  <c r="R263" i="3"/>
  <c r="B84" i="1"/>
  <c r="B67" i="1"/>
  <c r="B68" i="1"/>
  <c r="F19" i="1"/>
  <c r="B26" i="1" s="1"/>
  <c r="B51" i="1"/>
  <c r="B50" i="1"/>
  <c r="B82" i="1"/>
  <c r="B57" i="1"/>
  <c r="B73" i="1"/>
  <c r="AQ80" i="3"/>
  <c r="AR80" i="3"/>
  <c r="AL80" i="3"/>
  <c r="AM80" i="3" s="1"/>
  <c r="AN80" i="3" s="1"/>
  <c r="AK80" i="3"/>
  <c r="AS80" i="3"/>
  <c r="S80" i="3"/>
  <c r="K80" i="3"/>
  <c r="B78" i="3"/>
  <c r="C78" i="3" s="1"/>
  <c r="M23" i="3"/>
  <c r="A43" i="3" s="1"/>
  <c r="B264" i="3"/>
  <c r="C264" i="3" s="1"/>
  <c r="B262" i="3"/>
  <c r="C262" i="3" s="1"/>
  <c r="B263" i="3"/>
  <c r="C263" i="3" s="1"/>
  <c r="AJ263" i="3" s="1"/>
  <c r="B261" i="3"/>
  <c r="C261" i="3" s="1"/>
  <c r="B259" i="3"/>
  <c r="C259" i="3" s="1"/>
  <c r="B256" i="3"/>
  <c r="C256" i="3" s="1"/>
  <c r="B258" i="3"/>
  <c r="C258" i="3" s="1"/>
  <c r="B253" i="3"/>
  <c r="C253" i="3" s="1"/>
  <c r="B251" i="3"/>
  <c r="C251" i="3" s="1"/>
  <c r="B249" i="3"/>
  <c r="C249" i="3" s="1"/>
  <c r="AJ249" i="3" s="1"/>
  <c r="B260" i="3"/>
  <c r="C260" i="3" s="1"/>
  <c r="B257" i="3"/>
  <c r="C257" i="3" s="1"/>
  <c r="AJ257" i="3" s="1"/>
  <c r="B255" i="3"/>
  <c r="C255" i="3" s="1"/>
  <c r="AJ255" i="3" s="1"/>
  <c r="B254" i="3"/>
  <c r="C254" i="3" s="1"/>
  <c r="B246" i="3"/>
  <c r="C246" i="3" s="1"/>
  <c r="AJ246" i="3" s="1"/>
  <c r="B244" i="3"/>
  <c r="C244" i="3" s="1"/>
  <c r="B242" i="3"/>
  <c r="C242" i="3" s="1"/>
  <c r="B240" i="3"/>
  <c r="C240" i="3" s="1"/>
  <c r="AJ240" i="3" s="1"/>
  <c r="B238" i="3"/>
  <c r="C238" i="3" s="1"/>
  <c r="AJ238" i="3" s="1"/>
  <c r="B236" i="3"/>
  <c r="C236" i="3" s="1"/>
  <c r="B250" i="3"/>
  <c r="C250" i="3" s="1"/>
  <c r="B248" i="3"/>
  <c r="C248" i="3" s="1"/>
  <c r="B235" i="3"/>
  <c r="C235" i="3" s="1"/>
  <c r="B233" i="3"/>
  <c r="C233" i="3" s="1"/>
  <c r="B231" i="3"/>
  <c r="C231" i="3" s="1"/>
  <c r="B229" i="3"/>
  <c r="C229" i="3" s="1"/>
  <c r="B227" i="3"/>
  <c r="C227" i="3" s="1"/>
  <c r="B225" i="3"/>
  <c r="C225" i="3" s="1"/>
  <c r="B223" i="3"/>
  <c r="C223" i="3" s="1"/>
  <c r="B221" i="3"/>
  <c r="C221" i="3" s="1"/>
  <c r="B219" i="3"/>
  <c r="C219" i="3" s="1"/>
  <c r="B247" i="3"/>
  <c r="C247" i="3" s="1"/>
  <c r="B245" i="3"/>
  <c r="C245" i="3" s="1"/>
  <c r="B243" i="3"/>
  <c r="C243" i="3" s="1"/>
  <c r="B252" i="3"/>
  <c r="C252" i="3" s="1"/>
  <c r="B239" i="3"/>
  <c r="C239" i="3" s="1"/>
  <c r="B237" i="3"/>
  <c r="C237" i="3" s="1"/>
  <c r="B234" i="3"/>
  <c r="C234" i="3" s="1"/>
  <c r="B232" i="3"/>
  <c r="C232" i="3" s="1"/>
  <c r="B230" i="3"/>
  <c r="C230" i="3" s="1"/>
  <c r="B228" i="3"/>
  <c r="C228" i="3" s="1"/>
  <c r="B218" i="3"/>
  <c r="C218" i="3" s="1"/>
  <c r="B216" i="3"/>
  <c r="C216" i="3" s="1"/>
  <c r="AJ216" i="3" s="1"/>
  <c r="B226" i="3"/>
  <c r="C226" i="3" s="1"/>
  <c r="B224" i="3"/>
  <c r="C224" i="3" s="1"/>
  <c r="B222" i="3"/>
  <c r="C222" i="3" s="1"/>
  <c r="AJ222" i="3" s="1"/>
  <c r="B220" i="3"/>
  <c r="C220" i="3" s="1"/>
  <c r="B214" i="3"/>
  <c r="C214" i="3" s="1"/>
  <c r="B212" i="3"/>
  <c r="C212" i="3" s="1"/>
  <c r="B210" i="3"/>
  <c r="C210" i="3" s="1"/>
  <c r="B208" i="3"/>
  <c r="C208" i="3" s="1"/>
  <c r="B206" i="3"/>
  <c r="C206" i="3" s="1"/>
  <c r="B215" i="3"/>
  <c r="C215" i="3" s="1"/>
  <c r="AJ215" i="3" s="1"/>
  <c r="B217" i="3"/>
  <c r="C217" i="3" s="1"/>
  <c r="AJ217" i="3" s="1"/>
  <c r="B211" i="3"/>
  <c r="C211" i="3" s="1"/>
  <c r="B205" i="3"/>
  <c r="C205" i="3" s="1"/>
  <c r="AJ205" i="3" s="1"/>
  <c r="B203" i="3"/>
  <c r="C203" i="3" s="1"/>
  <c r="B201" i="3"/>
  <c r="C201" i="3" s="1"/>
  <c r="AJ201" i="3" s="1"/>
  <c r="B199" i="3"/>
  <c r="C199" i="3" s="1"/>
  <c r="B197" i="3"/>
  <c r="C197" i="3" s="1"/>
  <c r="AJ197" i="3" s="1"/>
  <c r="B195" i="3"/>
  <c r="C195" i="3" s="1"/>
  <c r="AJ195" i="3" s="1"/>
  <c r="B193" i="3"/>
  <c r="C193" i="3" s="1"/>
  <c r="AJ193" i="3" s="1"/>
  <c r="B191" i="3"/>
  <c r="C191" i="3" s="1"/>
  <c r="B189" i="3"/>
  <c r="C189" i="3" s="1"/>
  <c r="B241" i="3"/>
  <c r="C241" i="3" s="1"/>
  <c r="B213" i="3"/>
  <c r="C213" i="3" s="1"/>
  <c r="AJ213" i="3" s="1"/>
  <c r="B209" i="3"/>
  <c r="C209" i="3" s="1"/>
  <c r="B204" i="3"/>
  <c r="C204" i="3" s="1"/>
  <c r="B202" i="3"/>
  <c r="C202" i="3" s="1"/>
  <c r="B207" i="3"/>
  <c r="C207" i="3" s="1"/>
  <c r="AJ207" i="3" s="1"/>
  <c r="B200" i="3"/>
  <c r="C200" i="3" s="1"/>
  <c r="AJ200" i="3" s="1"/>
  <c r="B198" i="3"/>
  <c r="C198" i="3" s="1"/>
  <c r="B196" i="3"/>
  <c r="C196" i="3" s="1"/>
  <c r="B186" i="3"/>
  <c r="C186" i="3" s="1"/>
  <c r="AJ186" i="3" s="1"/>
  <c r="B184" i="3"/>
  <c r="C184" i="3" s="1"/>
  <c r="AJ184" i="3" s="1"/>
  <c r="B194" i="3"/>
  <c r="C194" i="3" s="1"/>
  <c r="B190" i="3"/>
  <c r="C190" i="3" s="1"/>
  <c r="B182" i="3"/>
  <c r="C182" i="3" s="1"/>
  <c r="B180" i="3"/>
  <c r="C180" i="3" s="1"/>
  <c r="B178" i="3"/>
  <c r="C178" i="3" s="1"/>
  <c r="B176" i="3"/>
  <c r="C176" i="3" s="1"/>
  <c r="B174" i="3"/>
  <c r="C174" i="3" s="1"/>
  <c r="B172" i="3"/>
  <c r="C172" i="3" s="1"/>
  <c r="B170" i="3"/>
  <c r="C170" i="3" s="1"/>
  <c r="AJ170" i="3" s="1"/>
  <c r="B169" i="3"/>
  <c r="C169" i="3" s="1"/>
  <c r="AJ169" i="3" s="1"/>
  <c r="B167" i="3"/>
  <c r="C167" i="3" s="1"/>
  <c r="B165" i="3"/>
  <c r="C165" i="3" s="1"/>
  <c r="B163" i="3"/>
  <c r="C163" i="3" s="1"/>
  <c r="B161" i="3"/>
  <c r="C161" i="3" s="1"/>
  <c r="AJ161" i="3" s="1"/>
  <c r="B159" i="3"/>
  <c r="C159" i="3" s="1"/>
  <c r="AJ159" i="3" s="1"/>
  <c r="B157" i="3"/>
  <c r="C157" i="3" s="1"/>
  <c r="B183" i="3"/>
  <c r="C183" i="3" s="1"/>
  <c r="B192" i="3"/>
  <c r="C192" i="3" s="1"/>
  <c r="AJ192" i="3" s="1"/>
  <c r="B188" i="3"/>
  <c r="C188" i="3" s="1"/>
  <c r="B187" i="3"/>
  <c r="C187" i="3" s="1"/>
  <c r="B185" i="3"/>
  <c r="C185" i="3" s="1"/>
  <c r="B175" i="3"/>
  <c r="C175" i="3" s="1"/>
  <c r="B181" i="3"/>
  <c r="C181" i="3" s="1"/>
  <c r="B173" i="3"/>
  <c r="C173" i="3" s="1"/>
  <c r="B168" i="3"/>
  <c r="C168" i="3" s="1"/>
  <c r="B166" i="3"/>
  <c r="C166" i="3" s="1"/>
  <c r="AJ166" i="3" s="1"/>
  <c r="B164" i="3"/>
  <c r="C164" i="3" s="1"/>
  <c r="B154" i="3"/>
  <c r="C154" i="3" s="1"/>
  <c r="AJ154" i="3" s="1"/>
  <c r="B152" i="3"/>
  <c r="C152" i="3" s="1"/>
  <c r="AJ152" i="3" s="1"/>
  <c r="B150" i="3"/>
  <c r="C150" i="3" s="1"/>
  <c r="B148" i="3"/>
  <c r="C148" i="3" s="1"/>
  <c r="AJ148" i="3" s="1"/>
  <c r="B146" i="3"/>
  <c r="C146" i="3" s="1"/>
  <c r="B144" i="3"/>
  <c r="C144" i="3" s="1"/>
  <c r="B142" i="3"/>
  <c r="C142" i="3" s="1"/>
  <c r="B140" i="3"/>
  <c r="C140" i="3" s="1"/>
  <c r="AJ140" i="3" s="1"/>
  <c r="B138" i="3"/>
  <c r="C138" i="3" s="1"/>
  <c r="AJ138" i="3" s="1"/>
  <c r="B136" i="3"/>
  <c r="C136" i="3" s="1"/>
  <c r="B134" i="3"/>
  <c r="C134" i="3" s="1"/>
  <c r="B132" i="3"/>
  <c r="C132" i="3" s="1"/>
  <c r="AJ132" i="3" s="1"/>
  <c r="B130" i="3"/>
  <c r="C130" i="3" s="1"/>
  <c r="AJ130" i="3" s="1"/>
  <c r="B128" i="3"/>
  <c r="C128" i="3" s="1"/>
  <c r="AJ128" i="3" s="1"/>
  <c r="B126" i="3"/>
  <c r="C126" i="3" s="1"/>
  <c r="B124" i="3"/>
  <c r="C124" i="3" s="1"/>
  <c r="AJ124" i="3" s="1"/>
  <c r="B122" i="3"/>
  <c r="C122" i="3" s="1"/>
  <c r="B120" i="3"/>
  <c r="C120" i="3" s="1"/>
  <c r="B118" i="3"/>
  <c r="C118" i="3" s="1"/>
  <c r="B116" i="3"/>
  <c r="C116" i="3" s="1"/>
  <c r="AJ116" i="3" s="1"/>
  <c r="B179" i="3"/>
  <c r="C179" i="3" s="1"/>
  <c r="B177" i="3"/>
  <c r="C177" i="3" s="1"/>
  <c r="B162" i="3"/>
  <c r="C162" i="3" s="1"/>
  <c r="AJ162" i="3" s="1"/>
  <c r="B160" i="3"/>
  <c r="C160" i="3" s="1"/>
  <c r="AJ160" i="3" s="1"/>
  <c r="B158" i="3"/>
  <c r="C158" i="3" s="1"/>
  <c r="B156" i="3"/>
  <c r="C156" i="3" s="1"/>
  <c r="B133" i="3"/>
  <c r="C133" i="3" s="1"/>
  <c r="B131" i="3"/>
  <c r="C131" i="3" s="1"/>
  <c r="B129" i="3"/>
  <c r="C129" i="3" s="1"/>
  <c r="B127" i="3"/>
  <c r="C127" i="3" s="1"/>
  <c r="B125" i="3"/>
  <c r="C125" i="3" s="1"/>
  <c r="AJ125" i="3" s="1"/>
  <c r="B123" i="3"/>
  <c r="C123" i="3" s="1"/>
  <c r="AJ123" i="3" s="1"/>
  <c r="B121" i="3"/>
  <c r="C121" i="3" s="1"/>
  <c r="B119" i="3"/>
  <c r="C119" i="3" s="1"/>
  <c r="B117" i="3"/>
  <c r="C117" i="3" s="1"/>
  <c r="B115" i="3"/>
  <c r="C115" i="3" s="1"/>
  <c r="AJ115" i="3" s="1"/>
  <c r="B113" i="3"/>
  <c r="C113" i="3" s="1"/>
  <c r="B111" i="3"/>
  <c r="C111" i="3" s="1"/>
  <c r="B109" i="3"/>
  <c r="C109" i="3" s="1"/>
  <c r="B155" i="3"/>
  <c r="C155" i="3" s="1"/>
  <c r="AJ155" i="3" s="1"/>
  <c r="B153" i="3"/>
  <c r="C153" i="3" s="1"/>
  <c r="AJ153" i="3" s="1"/>
  <c r="B151" i="3"/>
  <c r="C151" i="3" s="1"/>
  <c r="B149" i="3"/>
  <c r="C149" i="3" s="1"/>
  <c r="AJ149" i="3" s="1"/>
  <c r="B147" i="3"/>
  <c r="C147" i="3" s="1"/>
  <c r="B145" i="3"/>
  <c r="C145" i="3" s="1"/>
  <c r="AJ145" i="3" s="1"/>
  <c r="B143" i="3"/>
  <c r="C143" i="3" s="1"/>
  <c r="B141" i="3"/>
  <c r="C141" i="3" s="1"/>
  <c r="B139" i="3"/>
  <c r="C139" i="3" s="1"/>
  <c r="B137" i="3"/>
  <c r="C137" i="3" s="1"/>
  <c r="B135" i="3"/>
  <c r="C135" i="3" s="1"/>
  <c r="B171" i="3"/>
  <c r="C171" i="3" s="1"/>
  <c r="B114" i="3"/>
  <c r="C114" i="3" s="1"/>
  <c r="B112" i="3"/>
  <c r="C112" i="3" s="1"/>
  <c r="B110" i="3"/>
  <c r="C110" i="3" s="1"/>
  <c r="AJ110" i="3" s="1"/>
  <c r="B108" i="3"/>
  <c r="C108" i="3" s="1"/>
  <c r="AJ108" i="3" s="1"/>
  <c r="B106" i="3"/>
  <c r="C106" i="3" s="1"/>
  <c r="B104" i="3"/>
  <c r="C104" i="3" s="1"/>
  <c r="AJ104" i="3" s="1"/>
  <c r="B102" i="3"/>
  <c r="C102" i="3" s="1"/>
  <c r="B100" i="3"/>
  <c r="C100" i="3" s="1"/>
  <c r="AJ100" i="3" s="1"/>
  <c r="B98" i="3"/>
  <c r="C98" i="3" s="1"/>
  <c r="B96" i="3"/>
  <c r="C96" i="3" s="1"/>
  <c r="AJ96" i="3" s="1"/>
  <c r="B94" i="3"/>
  <c r="C94" i="3" s="1"/>
  <c r="B92" i="3"/>
  <c r="C92" i="3" s="1"/>
  <c r="AJ92" i="3" s="1"/>
  <c r="B90" i="3"/>
  <c r="C90" i="3" s="1"/>
  <c r="AJ90" i="3" s="1"/>
  <c r="B88" i="3"/>
  <c r="C88" i="3" s="1"/>
  <c r="AJ88" i="3" s="1"/>
  <c r="B86" i="3"/>
  <c r="C86" i="3" s="1"/>
  <c r="B84" i="3"/>
  <c r="C84" i="3" s="1"/>
  <c r="AJ84" i="3" s="1"/>
  <c r="B82" i="3"/>
  <c r="C82" i="3" s="1"/>
  <c r="AJ82" i="3" s="1"/>
  <c r="B79" i="3"/>
  <c r="C79" i="3" s="1"/>
  <c r="B77" i="3"/>
  <c r="C77" i="3" s="1"/>
  <c r="B75" i="3"/>
  <c r="C75" i="3" s="1"/>
  <c r="B73" i="3"/>
  <c r="C73" i="3" s="1"/>
  <c r="B71" i="3"/>
  <c r="C71" i="3" s="1"/>
  <c r="B69" i="3"/>
  <c r="C69" i="3" s="1"/>
  <c r="B67" i="3"/>
  <c r="C67" i="3" s="1"/>
  <c r="B65" i="3"/>
  <c r="C65" i="3" s="1"/>
  <c r="B83" i="3"/>
  <c r="C83" i="3" s="1"/>
  <c r="AJ83" i="3" s="1"/>
  <c r="B107" i="3"/>
  <c r="C107" i="3" s="1"/>
  <c r="B105" i="3"/>
  <c r="C105" i="3" s="1"/>
  <c r="B103" i="3"/>
  <c r="C103" i="3" s="1"/>
  <c r="AJ103" i="3" s="1"/>
  <c r="B101" i="3"/>
  <c r="C101" i="3" s="1"/>
  <c r="AJ101" i="3" s="1"/>
  <c r="B99" i="3"/>
  <c r="C99" i="3" s="1"/>
  <c r="AJ99" i="3" s="1"/>
  <c r="B97" i="3"/>
  <c r="C97" i="3" s="1"/>
  <c r="B95" i="3"/>
  <c r="C95" i="3" s="1"/>
  <c r="B93" i="3"/>
  <c r="C93" i="3" s="1"/>
  <c r="B91" i="3"/>
  <c r="C91" i="3" s="1"/>
  <c r="B89" i="3"/>
  <c r="C89" i="3" s="1"/>
  <c r="B87" i="3"/>
  <c r="C87" i="3" s="1"/>
  <c r="B85" i="3"/>
  <c r="C85" i="3" s="1"/>
  <c r="B81" i="3"/>
  <c r="C81" i="3" s="1"/>
  <c r="M28" i="3"/>
  <c r="K29" i="3" s="1"/>
  <c r="K31" i="3" s="1"/>
  <c r="B64" i="3"/>
  <c r="C64" i="3" s="1"/>
  <c r="B66" i="3"/>
  <c r="C66" i="3" s="1"/>
  <c r="B68" i="3"/>
  <c r="C68" i="3" s="1"/>
  <c r="AJ68" i="3" s="1"/>
  <c r="B70" i="3"/>
  <c r="C70" i="3" s="1"/>
  <c r="B72" i="3"/>
  <c r="C72" i="3" s="1"/>
  <c r="B74" i="3"/>
  <c r="C74" i="3" s="1"/>
  <c r="B76" i="3"/>
  <c r="C76" i="3" s="1"/>
  <c r="AJ80" i="3"/>
  <c r="I10" i="2"/>
  <c r="B88" i="1"/>
  <c r="B93" i="1"/>
  <c r="K32" i="1" s="1"/>
  <c r="B56" i="1"/>
  <c r="A58" i="2" l="1"/>
  <c r="B58" i="2" s="1"/>
  <c r="F27" i="2" s="1"/>
  <c r="A46" i="2"/>
  <c r="B46" i="2" s="1"/>
  <c r="F15" i="2" s="1"/>
  <c r="A62" i="2"/>
  <c r="B62" i="2" s="1"/>
  <c r="F31" i="2" s="1"/>
  <c r="A55" i="2"/>
  <c r="B55" i="2" s="1"/>
  <c r="F24" i="2" s="1"/>
  <c r="A71" i="2"/>
  <c r="B71" i="2" s="1"/>
  <c r="A56" i="2"/>
  <c r="B56" i="2" s="1"/>
  <c r="F25" i="2" s="1"/>
  <c r="A72" i="2"/>
  <c r="B72" i="2" s="1"/>
  <c r="F41" i="2" s="1"/>
  <c r="A45" i="2"/>
  <c r="B45" i="2" s="1"/>
  <c r="F14" i="2" s="1"/>
  <c r="A44" i="2"/>
  <c r="B44" i="2" s="1"/>
  <c r="A60" i="2"/>
  <c r="B60" i="2" s="1"/>
  <c r="F29" i="2" s="1"/>
  <c r="A50" i="2"/>
  <c r="B50" i="2" s="1"/>
  <c r="F19" i="2" s="1"/>
  <c r="A66" i="2"/>
  <c r="B66" i="2" s="1"/>
  <c r="F35" i="2" s="1"/>
  <c r="A59" i="2"/>
  <c r="B59" i="2" s="1"/>
  <c r="F28" i="2" s="1"/>
  <c r="A49" i="2"/>
  <c r="B49" i="2" s="1"/>
  <c r="F18" i="2" s="1"/>
  <c r="A61" i="2"/>
  <c r="B61" i="2" s="1"/>
  <c r="F30" i="2" s="1"/>
  <c r="A65" i="2"/>
  <c r="B65" i="2" s="1"/>
  <c r="F34" i="2" s="1"/>
  <c r="A54" i="2"/>
  <c r="B54" i="2" s="1"/>
  <c r="F23" i="2" s="1"/>
  <c r="A53" i="2"/>
  <c r="B53" i="2" s="1"/>
  <c r="F22" i="2" s="1"/>
  <c r="A69" i="2"/>
  <c r="B69" i="2" s="1"/>
  <c r="F38" i="2" s="1"/>
  <c r="L259" i="3"/>
  <c r="D169" i="3"/>
  <c r="E250" i="3"/>
  <c r="D80" i="3"/>
  <c r="E193" i="3"/>
  <c r="E100" i="3"/>
  <c r="E218" i="3"/>
  <c r="E80" i="3"/>
  <c r="D126" i="3"/>
  <c r="D252" i="3"/>
  <c r="D150" i="3"/>
  <c r="D67" i="3"/>
  <c r="D81" i="3"/>
  <c r="D69" i="3"/>
  <c r="E77" i="3"/>
  <c r="D94" i="3"/>
  <c r="D143" i="3"/>
  <c r="D127" i="3"/>
  <c r="D120" i="3"/>
  <c r="D168" i="3"/>
  <c r="E194" i="3"/>
  <c r="E198" i="3"/>
  <c r="E226" i="3"/>
  <c r="E247" i="3"/>
  <c r="E244" i="3"/>
  <c r="E133" i="3"/>
  <c r="E95" i="3"/>
  <c r="E132" i="3"/>
  <c r="D162" i="3"/>
  <c r="E229" i="3"/>
  <c r="E70" i="3"/>
  <c r="E87" i="3"/>
  <c r="D73" i="3"/>
  <c r="E106" i="3"/>
  <c r="E114" i="3"/>
  <c r="D147" i="3"/>
  <c r="E131" i="3"/>
  <c r="D164" i="3"/>
  <c r="E181" i="3"/>
  <c r="D188" i="3"/>
  <c r="E167" i="3"/>
  <c r="E182" i="3"/>
  <c r="D210" i="3"/>
  <c r="D218" i="3"/>
  <c r="D243" i="3"/>
  <c r="D248" i="3"/>
  <c r="D240" i="3"/>
  <c r="D254" i="3"/>
  <c r="E256" i="3"/>
  <c r="D262" i="3"/>
  <c r="D142" i="3"/>
  <c r="E115" i="3"/>
  <c r="D133" i="3"/>
  <c r="D190" i="3"/>
  <c r="E264" i="3"/>
  <c r="AP80" i="3"/>
  <c r="D75" i="3"/>
  <c r="E84" i="3"/>
  <c r="E108" i="3"/>
  <c r="E141" i="3"/>
  <c r="D149" i="3"/>
  <c r="D117" i="3"/>
  <c r="D134" i="3"/>
  <c r="E166" i="3"/>
  <c r="E196" i="3"/>
  <c r="D241" i="3"/>
  <c r="E215" i="3"/>
  <c r="E237" i="3"/>
  <c r="E251" i="3"/>
  <c r="D100" i="3"/>
  <c r="F100" i="3" s="1"/>
  <c r="H100" i="3" s="1"/>
  <c r="E103" i="3"/>
  <c r="E92" i="3"/>
  <c r="D118" i="3"/>
  <c r="D141" i="3"/>
  <c r="E184" i="3"/>
  <c r="E224" i="3"/>
  <c r="E245" i="3"/>
  <c r="D264" i="3"/>
  <c r="D98" i="3"/>
  <c r="E66" i="3"/>
  <c r="E85" i="3"/>
  <c r="E93" i="3"/>
  <c r="E101" i="3"/>
  <c r="E71" i="3"/>
  <c r="D79" i="3"/>
  <c r="D104" i="3"/>
  <c r="D113" i="3"/>
  <c r="E121" i="3"/>
  <c r="E179" i="3"/>
  <c r="E122" i="3"/>
  <c r="E130" i="3"/>
  <c r="D146" i="3"/>
  <c r="D173" i="3"/>
  <c r="D187" i="3"/>
  <c r="E165" i="3"/>
  <c r="E180" i="3"/>
  <c r="E191" i="3"/>
  <c r="E199" i="3"/>
  <c r="D220" i="3"/>
  <c r="E232" i="3"/>
  <c r="E235" i="3"/>
  <c r="E263" i="3"/>
  <c r="D108" i="3"/>
  <c r="F108" i="3" s="1"/>
  <c r="D78" i="3"/>
  <c r="D83" i="3"/>
  <c r="E124" i="3"/>
  <c r="E149" i="3"/>
  <c r="D181" i="3"/>
  <c r="D209" i="3"/>
  <c r="E234" i="3"/>
  <c r="D48" i="2"/>
  <c r="E48" i="2" s="1"/>
  <c r="H17" i="2" s="1"/>
  <c r="D69" i="2"/>
  <c r="E69" i="2" s="1"/>
  <c r="H38" i="2" s="1"/>
  <c r="D47" i="2"/>
  <c r="E47" i="2" s="1"/>
  <c r="H16" i="2" s="1"/>
  <c r="D62" i="2"/>
  <c r="E62" i="2" s="1"/>
  <c r="H31" i="2" s="1"/>
  <c r="D63" i="2"/>
  <c r="E63" i="2" s="1"/>
  <c r="H32" i="2" s="1"/>
  <c r="D53" i="2"/>
  <c r="E53" i="2" s="1"/>
  <c r="A48" i="2"/>
  <c r="B48" i="2" s="1"/>
  <c r="F17" i="2" s="1"/>
  <c r="A64" i="2"/>
  <c r="B64" i="2" s="1"/>
  <c r="F33" i="2" s="1"/>
  <c r="D52" i="2"/>
  <c r="E52" i="2" s="1"/>
  <c r="H21" i="2" s="1"/>
  <c r="D57" i="2"/>
  <c r="E57" i="2" s="1"/>
  <c r="H26" i="2" s="1"/>
  <c r="D51" i="2"/>
  <c r="E51" i="2" s="1"/>
  <c r="H20" i="2" s="1"/>
  <c r="D66" i="2"/>
  <c r="E66" i="2" s="1"/>
  <c r="H35" i="2" s="1"/>
  <c r="D67" i="2"/>
  <c r="E67" i="2" s="1"/>
  <c r="H36" i="2" s="1"/>
  <c r="D56" i="2"/>
  <c r="E56" i="2" s="1"/>
  <c r="H25" i="2" s="1"/>
  <c r="L201" i="3"/>
  <c r="L98" i="3"/>
  <c r="L139" i="3"/>
  <c r="L234" i="3"/>
  <c r="A47" i="2"/>
  <c r="B47" i="2" s="1"/>
  <c r="F16" i="2" s="1"/>
  <c r="A63" i="2"/>
  <c r="B63" i="2" s="1"/>
  <c r="F32" i="2" s="1"/>
  <c r="A57" i="2"/>
  <c r="B57" i="2" s="1"/>
  <c r="F26" i="2" s="1"/>
  <c r="A52" i="2"/>
  <c r="B52" i="2" s="1"/>
  <c r="A68" i="2"/>
  <c r="B68" i="2" s="1"/>
  <c r="D46" i="2"/>
  <c r="E46" i="2" s="1"/>
  <c r="H15" i="2" s="1"/>
  <c r="D61" i="2"/>
  <c r="E61" i="2" s="1"/>
  <c r="H30" i="2" s="1"/>
  <c r="D54" i="2"/>
  <c r="E54" i="2" s="1"/>
  <c r="H23" i="2" s="1"/>
  <c r="D70" i="2"/>
  <c r="E70" i="2" s="1"/>
  <c r="H39" i="2" s="1"/>
  <c r="D55" i="2"/>
  <c r="E55" i="2" s="1"/>
  <c r="H24" i="2" s="1"/>
  <c r="D71" i="2"/>
  <c r="E71" i="2" s="1"/>
  <c r="H40" i="2" s="1"/>
  <c r="F72" i="2"/>
  <c r="D41" i="2" s="1"/>
  <c r="G72" i="2"/>
  <c r="D45" i="2"/>
  <c r="E45" i="2" s="1"/>
  <c r="H14" i="2" s="1"/>
  <c r="D60" i="2"/>
  <c r="E60" i="2" s="1"/>
  <c r="H29" i="2" s="1"/>
  <c r="D68" i="2"/>
  <c r="E68" i="2" s="1"/>
  <c r="H37" i="2" s="1"/>
  <c r="L134" i="3"/>
  <c r="L250" i="3"/>
  <c r="A51" i="2"/>
  <c r="B51" i="2" s="1"/>
  <c r="F20" i="2" s="1"/>
  <c r="A67" i="2"/>
  <c r="B67" i="2" s="1"/>
  <c r="F36" i="2" s="1"/>
  <c r="A70" i="2"/>
  <c r="B70" i="2" s="1"/>
  <c r="D50" i="2"/>
  <c r="E50" i="2" s="1"/>
  <c r="H19" i="2" s="1"/>
  <c r="D65" i="2"/>
  <c r="E65" i="2" s="1"/>
  <c r="H34" i="2" s="1"/>
  <c r="D58" i="2"/>
  <c r="E58" i="2" s="1"/>
  <c r="H27" i="2" s="1"/>
  <c r="D59" i="2"/>
  <c r="E59" i="2" s="1"/>
  <c r="H28" i="2" s="1"/>
  <c r="D49" i="2"/>
  <c r="E49" i="2" s="1"/>
  <c r="H18" i="2" s="1"/>
  <c r="D64" i="2"/>
  <c r="E64" i="2" s="1"/>
  <c r="H33" i="2" s="1"/>
  <c r="B75" i="1"/>
  <c r="L29" i="1" s="1"/>
  <c r="B59" i="1"/>
  <c r="L28" i="1" s="1"/>
  <c r="L148" i="3"/>
  <c r="L205" i="3"/>
  <c r="L260" i="3"/>
  <c r="L106" i="3"/>
  <c r="L169" i="3"/>
  <c r="L217" i="3"/>
  <c r="L162" i="3"/>
  <c r="L93" i="3"/>
  <c r="L174" i="3"/>
  <c r="L231" i="3"/>
  <c r="L88" i="3"/>
  <c r="L112" i="3"/>
  <c r="L137" i="3"/>
  <c r="L129" i="3"/>
  <c r="L158" i="3"/>
  <c r="L157" i="3"/>
  <c r="L172" i="3"/>
  <c r="L184" i="3"/>
  <c r="L219" i="3"/>
  <c r="L227" i="3"/>
  <c r="L114" i="3"/>
  <c r="L80" i="3"/>
  <c r="L101" i="3"/>
  <c r="L141" i="3"/>
  <c r="L182" i="3"/>
  <c r="L238" i="3"/>
  <c r="L242" i="3"/>
  <c r="L263" i="3"/>
  <c r="L79" i="3"/>
  <c r="L92" i="3"/>
  <c r="L118" i="3"/>
  <c r="L155" i="3"/>
  <c r="L211" i="3"/>
  <c r="L210" i="3"/>
  <c r="L249" i="3"/>
  <c r="C27" i="3"/>
  <c r="M261" i="3" s="1"/>
  <c r="L108" i="3"/>
  <c r="L103" i="3"/>
  <c r="L171" i="3"/>
  <c r="L145" i="3"/>
  <c r="L164" i="3"/>
  <c r="L186" i="3"/>
  <c r="L198" i="3"/>
  <c r="L215" i="3"/>
  <c r="L240" i="3"/>
  <c r="L246" i="3"/>
  <c r="L252" i="3"/>
  <c r="L262" i="3"/>
  <c r="L146" i="3"/>
  <c r="L117" i="3"/>
  <c r="L90" i="3"/>
  <c r="L89" i="3"/>
  <c r="L113" i="3"/>
  <c r="L179" i="3"/>
  <c r="L153" i="3"/>
  <c r="L209" i="3"/>
  <c r="L195" i="3"/>
  <c r="L203" i="3"/>
  <c r="L208" i="3"/>
  <c r="L229" i="3"/>
  <c r="L245" i="3"/>
  <c r="L258" i="3"/>
  <c r="L121" i="3"/>
  <c r="L82" i="3"/>
  <c r="L100" i="3"/>
  <c r="L142" i="3"/>
  <c r="L95" i="3"/>
  <c r="L105" i="3"/>
  <c r="L126" i="3"/>
  <c r="L125" i="3"/>
  <c r="L173" i="3"/>
  <c r="L147" i="3"/>
  <c r="L161" i="3"/>
  <c r="L166" i="3"/>
  <c r="L176" i="3"/>
  <c r="L190" i="3"/>
  <c r="L193" i="3"/>
  <c r="L200" i="3"/>
  <c r="L207" i="3"/>
  <c r="L222" i="3"/>
  <c r="L212" i="3"/>
  <c r="L221" i="3"/>
  <c r="L235" i="3"/>
  <c r="L241" i="3"/>
  <c r="L251" i="3"/>
  <c r="L254" i="3"/>
  <c r="L255" i="3"/>
  <c r="L264" i="3"/>
  <c r="L181" i="3"/>
  <c r="L84" i="3"/>
  <c r="L104" i="3"/>
  <c r="L150" i="3"/>
  <c r="L97" i="3"/>
  <c r="L109" i="3"/>
  <c r="L130" i="3"/>
  <c r="L133" i="3"/>
  <c r="L175" i="3"/>
  <c r="L149" i="3"/>
  <c r="L165" i="3"/>
  <c r="L168" i="3"/>
  <c r="L180" i="3"/>
  <c r="L192" i="3"/>
  <c r="L196" i="3"/>
  <c r="L228" i="3"/>
  <c r="L224" i="3"/>
  <c r="L202" i="3"/>
  <c r="L218" i="3"/>
  <c r="L223" i="3"/>
  <c r="L237" i="3"/>
  <c r="L243" i="3"/>
  <c r="L248" i="3"/>
  <c r="L256" i="3"/>
  <c r="L102" i="3"/>
  <c r="L151" i="3"/>
  <c r="L144" i="3"/>
  <c r="L189" i="3"/>
  <c r="L225" i="3"/>
  <c r="B85" i="1"/>
  <c r="L30" i="1"/>
  <c r="F22" i="1"/>
  <c r="B55" i="1" s="1"/>
  <c r="F18" i="1"/>
  <c r="F17" i="1" s="1"/>
  <c r="F23" i="1"/>
  <c r="B72" i="1" s="1"/>
  <c r="D180" i="3"/>
  <c r="L122" i="3"/>
  <c r="L220" i="3"/>
  <c r="E123" i="3"/>
  <c r="D154" i="3"/>
  <c r="D161" i="3"/>
  <c r="E173" i="3"/>
  <c r="E188" i="3"/>
  <c r="E207" i="3"/>
  <c r="D217" i="3"/>
  <c r="AJ85" i="3"/>
  <c r="AJ114" i="3"/>
  <c r="AJ146" i="3"/>
  <c r="AJ220" i="3"/>
  <c r="AJ248" i="3"/>
  <c r="AO80" i="3"/>
  <c r="L127" i="3"/>
  <c r="L197" i="3"/>
  <c r="L138" i="3"/>
  <c r="D199" i="3"/>
  <c r="D216" i="3"/>
  <c r="E246" i="3"/>
  <c r="L96" i="3"/>
  <c r="L85" i="3"/>
  <c r="L191" i="3"/>
  <c r="L199" i="3"/>
  <c r="L232" i="3"/>
  <c r="D71" i="3"/>
  <c r="L87" i="3"/>
  <c r="L123" i="3"/>
  <c r="L131" i="3"/>
  <c r="L216" i="3"/>
  <c r="L257" i="3"/>
  <c r="E78" i="3"/>
  <c r="E116" i="3"/>
  <c r="D125" i="3"/>
  <c r="E161" i="3"/>
  <c r="E201" i="3"/>
  <c r="D246" i="3"/>
  <c r="D222" i="3"/>
  <c r="D249" i="3"/>
  <c r="E254" i="3"/>
  <c r="AJ93" i="3"/>
  <c r="AJ122" i="3"/>
  <c r="AJ187" i="3"/>
  <c r="AJ218" i="3"/>
  <c r="AJ256" i="3"/>
  <c r="AT80" i="3"/>
  <c r="AU80" i="3" s="1"/>
  <c r="AL76" i="3"/>
  <c r="AM76" i="3" s="1"/>
  <c r="AN76" i="3" s="1"/>
  <c r="AR76" i="3"/>
  <c r="S76" i="3"/>
  <c r="AQ76" i="3"/>
  <c r="AK76" i="3"/>
  <c r="AS76" i="3"/>
  <c r="K76" i="3"/>
  <c r="AL64" i="3"/>
  <c r="AM64" i="3" s="1"/>
  <c r="AN64" i="3" s="1"/>
  <c r="AR64" i="3"/>
  <c r="S64" i="3"/>
  <c r="AK64" i="3"/>
  <c r="AQ64" i="3"/>
  <c r="L64" i="3"/>
  <c r="K64" i="3"/>
  <c r="AS64" i="3"/>
  <c r="AS91" i="3"/>
  <c r="AK91" i="3"/>
  <c r="AQ91" i="3"/>
  <c r="AL91" i="3"/>
  <c r="AM91" i="3" s="1"/>
  <c r="AN91" i="3" s="1"/>
  <c r="K91" i="3"/>
  <c r="AR91" i="3"/>
  <c r="S91" i="3"/>
  <c r="AS107" i="3"/>
  <c r="AK107" i="3"/>
  <c r="AQ107" i="3"/>
  <c r="AL107" i="3"/>
  <c r="AM107" i="3" s="1"/>
  <c r="AN107" i="3" s="1"/>
  <c r="K107" i="3"/>
  <c r="AR107" i="3"/>
  <c r="S107" i="3"/>
  <c r="AQ86" i="3"/>
  <c r="S86" i="3"/>
  <c r="AR86" i="3"/>
  <c r="AL86" i="3"/>
  <c r="AM86" i="3" s="1"/>
  <c r="AN86" i="3" s="1"/>
  <c r="K86" i="3"/>
  <c r="AK86" i="3"/>
  <c r="AS86" i="3"/>
  <c r="AQ94" i="3"/>
  <c r="S94" i="3"/>
  <c r="AR94" i="3"/>
  <c r="AL94" i="3"/>
  <c r="AM94" i="3" s="1"/>
  <c r="AN94" i="3" s="1"/>
  <c r="AK94" i="3"/>
  <c r="K94" i="3"/>
  <c r="AS94" i="3"/>
  <c r="AS135" i="3"/>
  <c r="AK135" i="3"/>
  <c r="AL135" i="3"/>
  <c r="AM135" i="3" s="1"/>
  <c r="AN135" i="3" s="1"/>
  <c r="S135" i="3"/>
  <c r="K135" i="3"/>
  <c r="AQ135" i="3"/>
  <c r="AR135" i="3"/>
  <c r="AR111" i="3"/>
  <c r="K111" i="3"/>
  <c r="AS111" i="3"/>
  <c r="AK111" i="3"/>
  <c r="S111" i="3"/>
  <c r="AQ111" i="3"/>
  <c r="AL111" i="3"/>
  <c r="AM111" i="3" s="1"/>
  <c r="AN111" i="3" s="1"/>
  <c r="AL119" i="3"/>
  <c r="AM119" i="3" s="1"/>
  <c r="AN119" i="3" s="1"/>
  <c r="AR119" i="3"/>
  <c r="S119" i="3"/>
  <c r="AS119" i="3"/>
  <c r="AQ119" i="3"/>
  <c r="K119" i="3"/>
  <c r="AK119" i="3"/>
  <c r="AQ177" i="3"/>
  <c r="S177" i="3"/>
  <c r="AK177" i="3"/>
  <c r="K177" i="3"/>
  <c r="AL177" i="3"/>
  <c r="AM177" i="3" s="1"/>
  <c r="AN177" i="3" s="1"/>
  <c r="AS177" i="3"/>
  <c r="AR177" i="3"/>
  <c r="AQ136" i="3"/>
  <c r="S136" i="3"/>
  <c r="AR136" i="3"/>
  <c r="K136" i="3"/>
  <c r="AS136" i="3"/>
  <c r="AK136" i="3"/>
  <c r="AL136" i="3"/>
  <c r="AM136" i="3" s="1"/>
  <c r="AN136" i="3" s="1"/>
  <c r="AQ144" i="3"/>
  <c r="S144" i="3"/>
  <c r="AR144" i="3"/>
  <c r="K144" i="3"/>
  <c r="AS144" i="3"/>
  <c r="AK144" i="3"/>
  <c r="AL144" i="3"/>
  <c r="AM144" i="3" s="1"/>
  <c r="AN144" i="3" s="1"/>
  <c r="AL185" i="3"/>
  <c r="AM185" i="3" s="1"/>
  <c r="AN185" i="3" s="1"/>
  <c r="AS185" i="3"/>
  <c r="AK185" i="3"/>
  <c r="AQ185" i="3"/>
  <c r="S185" i="3"/>
  <c r="AR185" i="3"/>
  <c r="K185" i="3"/>
  <c r="AL183" i="3"/>
  <c r="AM183" i="3" s="1"/>
  <c r="AN183" i="3" s="1"/>
  <c r="AS183" i="3"/>
  <c r="AK183" i="3"/>
  <c r="AQ183" i="3"/>
  <c r="S183" i="3"/>
  <c r="K183" i="3"/>
  <c r="AR183" i="3"/>
  <c r="AS178" i="3"/>
  <c r="AK178" i="3"/>
  <c r="AR178" i="3"/>
  <c r="S178" i="3"/>
  <c r="AQ178" i="3"/>
  <c r="K178" i="3"/>
  <c r="AL178" i="3"/>
  <c r="AM178" i="3" s="1"/>
  <c r="AN178" i="3" s="1"/>
  <c r="AS204" i="3"/>
  <c r="AK204" i="3"/>
  <c r="AR204" i="3"/>
  <c r="S204" i="3"/>
  <c r="AQ204" i="3"/>
  <c r="K204" i="3"/>
  <c r="AL204" i="3"/>
  <c r="AM204" i="3" s="1"/>
  <c r="AN204" i="3" s="1"/>
  <c r="AR189" i="3"/>
  <c r="K189" i="3"/>
  <c r="AS189" i="3"/>
  <c r="S189" i="3"/>
  <c r="AQ189" i="3"/>
  <c r="AL189" i="3"/>
  <c r="AM189" i="3" s="1"/>
  <c r="AN189" i="3" s="1"/>
  <c r="AK189" i="3"/>
  <c r="AS206" i="3"/>
  <c r="AK206" i="3"/>
  <c r="AR206" i="3"/>
  <c r="AL206" i="3"/>
  <c r="AM206" i="3" s="1"/>
  <c r="AN206" i="3" s="1"/>
  <c r="S206" i="3"/>
  <c r="K206" i="3"/>
  <c r="AQ206" i="3"/>
  <c r="AS214" i="3"/>
  <c r="AK214" i="3"/>
  <c r="AR214" i="3"/>
  <c r="S214" i="3"/>
  <c r="AQ214" i="3"/>
  <c r="AL214" i="3"/>
  <c r="AM214" i="3" s="1"/>
  <c r="AN214" i="3" s="1"/>
  <c r="K214" i="3"/>
  <c r="AL239" i="3"/>
  <c r="AM239" i="3" s="1"/>
  <c r="AN239" i="3" s="1"/>
  <c r="AQ239" i="3"/>
  <c r="AK239" i="3"/>
  <c r="K239" i="3"/>
  <c r="AR239" i="3"/>
  <c r="S239" i="3"/>
  <c r="AS239" i="3"/>
  <c r="AR233" i="3"/>
  <c r="K233" i="3"/>
  <c r="AQ233" i="3"/>
  <c r="S233" i="3"/>
  <c r="AS233" i="3"/>
  <c r="AK233" i="3"/>
  <c r="AL233" i="3"/>
  <c r="AM233" i="3" s="1"/>
  <c r="AN233" i="3" s="1"/>
  <c r="AR236" i="3"/>
  <c r="K236" i="3"/>
  <c r="AS236" i="3"/>
  <c r="S236" i="3"/>
  <c r="AK236" i="3"/>
  <c r="AL236" i="3"/>
  <c r="AM236" i="3" s="1"/>
  <c r="AN236" i="3" s="1"/>
  <c r="AQ236" i="3"/>
  <c r="AS253" i="3"/>
  <c r="AQ253" i="3"/>
  <c r="S253" i="3"/>
  <c r="AR253" i="3"/>
  <c r="AL253" i="3"/>
  <c r="AM253" i="3" s="1"/>
  <c r="AN253" i="3" s="1"/>
  <c r="K253" i="3"/>
  <c r="AK253" i="3"/>
  <c r="AQ261" i="3"/>
  <c r="S261" i="3"/>
  <c r="AL261" i="3"/>
  <c r="AM261" i="3" s="1"/>
  <c r="AN261" i="3" s="1"/>
  <c r="AR261" i="3"/>
  <c r="K261" i="3"/>
  <c r="AS261" i="3"/>
  <c r="AK261" i="3"/>
  <c r="AJ64" i="3"/>
  <c r="E119" i="3"/>
  <c r="D68" i="3"/>
  <c r="D76" i="3"/>
  <c r="D91" i="3"/>
  <c r="E170" i="3"/>
  <c r="E136" i="3"/>
  <c r="D183" i="3"/>
  <c r="D198" i="3"/>
  <c r="AJ177" i="3"/>
  <c r="AJ185" i="3"/>
  <c r="AJ206" i="3"/>
  <c r="AJ239" i="3"/>
  <c r="AJ233" i="3"/>
  <c r="K30" i="3"/>
  <c r="K32" i="3" s="1"/>
  <c r="K33" i="3"/>
  <c r="L120" i="3"/>
  <c r="AJ143" i="3"/>
  <c r="L110" i="3"/>
  <c r="D102" i="3"/>
  <c r="D86" i="3"/>
  <c r="AL74" i="3"/>
  <c r="AM74" i="3" s="1"/>
  <c r="AN74" i="3" s="1"/>
  <c r="AR74" i="3"/>
  <c r="S74" i="3"/>
  <c r="AQ74" i="3"/>
  <c r="AK74" i="3"/>
  <c r="L74" i="3"/>
  <c r="K74" i="3"/>
  <c r="AS74" i="3"/>
  <c r="AL70" i="3"/>
  <c r="AM70" i="3" s="1"/>
  <c r="AN70" i="3" s="1"/>
  <c r="AR70" i="3"/>
  <c r="S70" i="3"/>
  <c r="AK70" i="3"/>
  <c r="L70" i="3"/>
  <c r="AQ70" i="3"/>
  <c r="AS70" i="3"/>
  <c r="K70" i="3"/>
  <c r="AL66" i="3"/>
  <c r="AM66" i="3" s="1"/>
  <c r="AN66" i="3" s="1"/>
  <c r="AR66" i="3"/>
  <c r="S66" i="3"/>
  <c r="AQ66" i="3"/>
  <c r="AK66" i="3"/>
  <c r="L66" i="3"/>
  <c r="AS66" i="3"/>
  <c r="K66" i="3"/>
  <c r="L81" i="3"/>
  <c r="L170" i="3"/>
  <c r="L178" i="3"/>
  <c r="L194" i="3"/>
  <c r="L185" i="3"/>
  <c r="L206" i="3"/>
  <c r="L214" i="3"/>
  <c r="L253" i="3"/>
  <c r="L261" i="3"/>
  <c r="AS87" i="3"/>
  <c r="AK87" i="3"/>
  <c r="AQ87" i="3"/>
  <c r="AL87" i="3"/>
  <c r="AM87" i="3" s="1"/>
  <c r="AN87" i="3" s="1"/>
  <c r="K87" i="3"/>
  <c r="AR87" i="3"/>
  <c r="S87" i="3"/>
  <c r="AS95" i="3"/>
  <c r="AK95" i="3"/>
  <c r="AQ95" i="3"/>
  <c r="AL95" i="3"/>
  <c r="AM95" i="3" s="1"/>
  <c r="AN95" i="3" s="1"/>
  <c r="K95" i="3"/>
  <c r="AR95" i="3"/>
  <c r="S95" i="3"/>
  <c r="AR65" i="3"/>
  <c r="K65" i="3"/>
  <c r="AK65" i="3"/>
  <c r="AS65" i="3"/>
  <c r="S65" i="3"/>
  <c r="AQ65" i="3"/>
  <c r="AL65" i="3"/>
  <c r="AM65" i="3" s="1"/>
  <c r="AN65" i="3" s="1"/>
  <c r="AO65" i="3" s="1"/>
  <c r="L65" i="3"/>
  <c r="AQ82" i="3"/>
  <c r="S82" i="3"/>
  <c r="AR82" i="3"/>
  <c r="AL82" i="3"/>
  <c r="AM82" i="3" s="1"/>
  <c r="AN82" i="3" s="1"/>
  <c r="AK82" i="3"/>
  <c r="AP82" i="3" s="1"/>
  <c r="K82" i="3"/>
  <c r="AS82" i="3"/>
  <c r="AQ98" i="3"/>
  <c r="S98" i="3"/>
  <c r="AR98" i="3"/>
  <c r="AL98" i="3"/>
  <c r="AM98" i="3" s="1"/>
  <c r="AN98" i="3" s="1"/>
  <c r="AK98" i="3"/>
  <c r="K98" i="3"/>
  <c r="AS98" i="3"/>
  <c r="AS139" i="3"/>
  <c r="AK139" i="3"/>
  <c r="AL139" i="3"/>
  <c r="AM139" i="3" s="1"/>
  <c r="AN139" i="3" s="1"/>
  <c r="S139" i="3"/>
  <c r="K139" i="3"/>
  <c r="AQ139" i="3"/>
  <c r="AR139" i="3"/>
  <c r="D106" i="3"/>
  <c r="D90" i="3"/>
  <c r="AJ78" i="3"/>
  <c r="D77" i="3"/>
  <c r="D65" i="3"/>
  <c r="L140" i="3"/>
  <c r="L136" i="3"/>
  <c r="L86" i="3"/>
  <c r="L94" i="3"/>
  <c r="L115" i="3"/>
  <c r="L83" i="3"/>
  <c r="L91" i="3"/>
  <c r="L99" i="3"/>
  <c r="L107" i="3"/>
  <c r="L116" i="3"/>
  <c r="L124" i="3"/>
  <c r="L132" i="3"/>
  <c r="L160" i="3"/>
  <c r="L135" i="3"/>
  <c r="L143" i="3"/>
  <c r="L159" i="3"/>
  <c r="L167" i="3"/>
  <c r="L188" i="3"/>
  <c r="L187" i="3"/>
  <c r="L213" i="3"/>
  <c r="L226" i="3"/>
  <c r="L233" i="3"/>
  <c r="L244" i="3"/>
  <c r="L247" i="3"/>
  <c r="AS89" i="3"/>
  <c r="AK89" i="3"/>
  <c r="AQ89" i="3"/>
  <c r="AL89" i="3"/>
  <c r="AM89" i="3" s="1"/>
  <c r="AN89" i="3" s="1"/>
  <c r="K89" i="3"/>
  <c r="AR89" i="3"/>
  <c r="S89" i="3"/>
  <c r="AS97" i="3"/>
  <c r="AK97" i="3"/>
  <c r="AQ97" i="3"/>
  <c r="AL97" i="3"/>
  <c r="AM97" i="3" s="1"/>
  <c r="AN97" i="3" s="1"/>
  <c r="K97" i="3"/>
  <c r="AR97" i="3"/>
  <c r="S97" i="3"/>
  <c r="AS105" i="3"/>
  <c r="AK105" i="3"/>
  <c r="AQ105" i="3"/>
  <c r="AL105" i="3"/>
  <c r="AM105" i="3" s="1"/>
  <c r="AN105" i="3" s="1"/>
  <c r="K105" i="3"/>
  <c r="AR105" i="3"/>
  <c r="S105" i="3"/>
  <c r="AR67" i="3"/>
  <c r="K67" i="3"/>
  <c r="AK67" i="3"/>
  <c r="S67" i="3"/>
  <c r="AS67" i="3"/>
  <c r="AQ67" i="3"/>
  <c r="AL67" i="3"/>
  <c r="AM67" i="3" s="1"/>
  <c r="AN67" i="3" s="1"/>
  <c r="L67" i="3"/>
  <c r="AR75" i="3"/>
  <c r="K75" i="3"/>
  <c r="AK75" i="3"/>
  <c r="S75" i="3"/>
  <c r="AS75" i="3"/>
  <c r="AQ75" i="3"/>
  <c r="AL75" i="3"/>
  <c r="AM75" i="3" s="1"/>
  <c r="AN75" i="3" s="1"/>
  <c r="L75" i="3"/>
  <c r="AQ84" i="3"/>
  <c r="S84" i="3"/>
  <c r="AR84" i="3"/>
  <c r="AL84" i="3"/>
  <c r="AM84" i="3" s="1"/>
  <c r="AN84" i="3" s="1"/>
  <c r="AK84" i="3"/>
  <c r="AP84" i="3" s="1"/>
  <c r="K84" i="3"/>
  <c r="AS84" i="3"/>
  <c r="D84" i="3"/>
  <c r="AQ92" i="3"/>
  <c r="S92" i="3"/>
  <c r="AR92" i="3"/>
  <c r="AL92" i="3"/>
  <c r="AM92" i="3" s="1"/>
  <c r="AN92" i="3" s="1"/>
  <c r="AK92" i="3"/>
  <c r="AP92" i="3" s="1"/>
  <c r="K92" i="3"/>
  <c r="AS92" i="3"/>
  <c r="D92" i="3"/>
  <c r="AQ100" i="3"/>
  <c r="S100" i="3"/>
  <c r="AR100" i="3"/>
  <c r="AL100" i="3"/>
  <c r="AM100" i="3" s="1"/>
  <c r="AN100" i="3" s="1"/>
  <c r="AK100" i="3"/>
  <c r="AP100" i="3" s="1"/>
  <c r="K100" i="3"/>
  <c r="AS100" i="3"/>
  <c r="AL108" i="3"/>
  <c r="AM108" i="3" s="1"/>
  <c r="AN108" i="3" s="1"/>
  <c r="AQ108" i="3"/>
  <c r="S108" i="3"/>
  <c r="AR108" i="3"/>
  <c r="K108" i="3"/>
  <c r="AS108" i="3"/>
  <c r="AK108" i="3"/>
  <c r="AP108" i="3" s="1"/>
  <c r="AQ171" i="3"/>
  <c r="S171" i="3"/>
  <c r="AK171" i="3"/>
  <c r="K171" i="3"/>
  <c r="AR171" i="3"/>
  <c r="AS171" i="3"/>
  <c r="AL171" i="3"/>
  <c r="AM171" i="3" s="1"/>
  <c r="AN171" i="3" s="1"/>
  <c r="AS141" i="3"/>
  <c r="AK141" i="3"/>
  <c r="AL141" i="3"/>
  <c r="AM141" i="3" s="1"/>
  <c r="AN141" i="3" s="1"/>
  <c r="S141" i="3"/>
  <c r="K141" i="3"/>
  <c r="AQ141" i="3"/>
  <c r="AR141" i="3"/>
  <c r="AS149" i="3"/>
  <c r="AK149" i="3"/>
  <c r="AP149" i="3" s="1"/>
  <c r="AL149" i="3"/>
  <c r="AM149" i="3" s="1"/>
  <c r="AN149" i="3" s="1"/>
  <c r="S149" i="3"/>
  <c r="K149" i="3"/>
  <c r="AQ149" i="3"/>
  <c r="AR149" i="3"/>
  <c r="AR109" i="3"/>
  <c r="K109" i="3"/>
  <c r="AS109" i="3"/>
  <c r="AK109" i="3"/>
  <c r="S109" i="3"/>
  <c r="AQ109" i="3"/>
  <c r="AL109" i="3"/>
  <c r="AM109" i="3" s="1"/>
  <c r="AN109" i="3" s="1"/>
  <c r="AL117" i="3"/>
  <c r="AM117" i="3" s="1"/>
  <c r="AN117" i="3" s="1"/>
  <c r="AR117" i="3"/>
  <c r="S117" i="3"/>
  <c r="AS117" i="3"/>
  <c r="K117" i="3"/>
  <c r="AQ117" i="3"/>
  <c r="AK117" i="3"/>
  <c r="AL125" i="3"/>
  <c r="AM125" i="3" s="1"/>
  <c r="AN125" i="3" s="1"/>
  <c r="AR125" i="3"/>
  <c r="S125" i="3"/>
  <c r="AQ125" i="3"/>
  <c r="AK125" i="3"/>
  <c r="AP125" i="3" s="1"/>
  <c r="AS125" i="3"/>
  <c r="K125" i="3"/>
  <c r="AL133" i="3"/>
  <c r="AM133" i="3" s="1"/>
  <c r="AN133" i="3" s="1"/>
  <c r="AR133" i="3"/>
  <c r="S133" i="3"/>
  <c r="AQ133" i="3"/>
  <c r="AK133" i="3"/>
  <c r="AS133" i="3"/>
  <c r="K133" i="3"/>
  <c r="AL162" i="3"/>
  <c r="AM162" i="3" s="1"/>
  <c r="AN162" i="3" s="1"/>
  <c r="AS162" i="3"/>
  <c r="K162" i="3"/>
  <c r="AK162" i="3"/>
  <c r="AP162" i="3" s="1"/>
  <c r="AR162" i="3"/>
  <c r="S162" i="3"/>
  <c r="AQ162" i="3"/>
  <c r="AR118" i="3"/>
  <c r="K118" i="3"/>
  <c r="AK118" i="3"/>
  <c r="AQ118" i="3"/>
  <c r="AL118" i="3"/>
  <c r="AM118" i="3" s="1"/>
  <c r="AN118" i="3" s="1"/>
  <c r="AS118" i="3"/>
  <c r="S118" i="3"/>
  <c r="AR126" i="3"/>
  <c r="K126" i="3"/>
  <c r="AK126" i="3"/>
  <c r="AQ126" i="3"/>
  <c r="AL126" i="3"/>
  <c r="AM126" i="3" s="1"/>
  <c r="AN126" i="3" s="1"/>
  <c r="S126" i="3"/>
  <c r="AS126" i="3"/>
  <c r="AQ134" i="3"/>
  <c r="S134" i="3"/>
  <c r="AR134" i="3"/>
  <c r="K134" i="3"/>
  <c r="AS134" i="3"/>
  <c r="AK134" i="3"/>
  <c r="AL134" i="3"/>
  <c r="AM134" i="3" s="1"/>
  <c r="AN134" i="3" s="1"/>
  <c r="AQ142" i="3"/>
  <c r="S142" i="3"/>
  <c r="AR142" i="3"/>
  <c r="K142" i="3"/>
  <c r="AS142" i="3"/>
  <c r="AK142" i="3"/>
  <c r="AL142" i="3"/>
  <c r="AM142" i="3" s="1"/>
  <c r="AN142" i="3" s="1"/>
  <c r="AQ150" i="3"/>
  <c r="S150" i="3"/>
  <c r="AR150" i="3"/>
  <c r="K150" i="3"/>
  <c r="AS150" i="3"/>
  <c r="AK150" i="3"/>
  <c r="AL150" i="3"/>
  <c r="AM150" i="3" s="1"/>
  <c r="AN150" i="3" s="1"/>
  <c r="AL166" i="3"/>
  <c r="AS166" i="3"/>
  <c r="AK166" i="3"/>
  <c r="AP166" i="3" s="1"/>
  <c r="AR166" i="3"/>
  <c r="AM166" i="3"/>
  <c r="AN166" i="3" s="1"/>
  <c r="S166" i="3"/>
  <c r="K166" i="3"/>
  <c r="AQ166" i="3"/>
  <c r="AQ175" i="3"/>
  <c r="S175" i="3"/>
  <c r="AK175" i="3"/>
  <c r="K175" i="3"/>
  <c r="AS175" i="3"/>
  <c r="AL175" i="3"/>
  <c r="AM175" i="3" s="1"/>
  <c r="AN175" i="3" s="1"/>
  <c r="AR175" i="3"/>
  <c r="AL192" i="3"/>
  <c r="AM192" i="3" s="1"/>
  <c r="AN192" i="3" s="1"/>
  <c r="K192" i="3"/>
  <c r="AS192" i="3"/>
  <c r="AQ192" i="3"/>
  <c r="AK192" i="3"/>
  <c r="AP192" i="3" s="1"/>
  <c r="AR192" i="3"/>
  <c r="S192" i="3"/>
  <c r="AR161" i="3"/>
  <c r="K161" i="3"/>
  <c r="AQ161" i="3"/>
  <c r="AL161" i="3"/>
  <c r="AM161" i="3" s="1"/>
  <c r="AN161" i="3" s="1"/>
  <c r="AS161" i="3"/>
  <c r="S161" i="3"/>
  <c r="AK161" i="3"/>
  <c r="AP161" i="3" s="1"/>
  <c r="AQ169" i="3"/>
  <c r="S169" i="3"/>
  <c r="AK169" i="3"/>
  <c r="AP169" i="3" s="1"/>
  <c r="K169" i="3"/>
  <c r="AL169" i="3"/>
  <c r="AM169" i="3" s="1"/>
  <c r="AN169" i="3" s="1"/>
  <c r="AR169" i="3"/>
  <c r="AS169" i="3"/>
  <c r="AS176" i="3"/>
  <c r="AK176" i="3"/>
  <c r="AR176" i="3"/>
  <c r="S176" i="3"/>
  <c r="AL176" i="3"/>
  <c r="AM176" i="3" s="1"/>
  <c r="AN176" i="3" s="1"/>
  <c r="K176" i="3"/>
  <c r="AQ176" i="3"/>
  <c r="AL190" i="3"/>
  <c r="AM190" i="3" s="1"/>
  <c r="AN190" i="3" s="1"/>
  <c r="K190" i="3"/>
  <c r="AS190" i="3"/>
  <c r="AQ190" i="3"/>
  <c r="AK190" i="3"/>
  <c r="S190" i="3"/>
  <c r="AR190" i="3"/>
  <c r="AL196" i="3"/>
  <c r="AM196" i="3" s="1"/>
  <c r="AN196" i="3" s="1"/>
  <c r="AS196" i="3"/>
  <c r="AR196" i="3"/>
  <c r="K196" i="3"/>
  <c r="S196" i="3"/>
  <c r="AQ196" i="3"/>
  <c r="AK196" i="3"/>
  <c r="AS202" i="3"/>
  <c r="AK202" i="3"/>
  <c r="AR202" i="3"/>
  <c r="S202" i="3"/>
  <c r="AL202" i="3"/>
  <c r="AM202" i="3" s="1"/>
  <c r="AN202" i="3" s="1"/>
  <c r="K202" i="3"/>
  <c r="AQ202" i="3"/>
  <c r="AL241" i="3"/>
  <c r="AM241" i="3" s="1"/>
  <c r="AN241" i="3" s="1"/>
  <c r="AS241" i="3"/>
  <c r="AK241" i="3"/>
  <c r="AQ241" i="3"/>
  <c r="S241" i="3"/>
  <c r="K241" i="3"/>
  <c r="AR241" i="3"/>
  <c r="AR195" i="3"/>
  <c r="K195" i="3"/>
  <c r="AL195" i="3"/>
  <c r="AM195" i="3" s="1"/>
  <c r="AN195" i="3" s="1"/>
  <c r="AS195" i="3"/>
  <c r="AK195" i="3"/>
  <c r="AP195" i="3" s="1"/>
  <c r="AQ195" i="3"/>
  <c r="S195" i="3"/>
  <c r="AQ203" i="3"/>
  <c r="S203" i="3"/>
  <c r="AR203" i="3"/>
  <c r="AL203" i="3"/>
  <c r="AM203" i="3" s="1"/>
  <c r="AN203" i="3" s="1"/>
  <c r="AK203" i="3"/>
  <c r="K203" i="3"/>
  <c r="AS203" i="3"/>
  <c r="AL215" i="3"/>
  <c r="AM215" i="3" s="1"/>
  <c r="AN215" i="3" s="1"/>
  <c r="AS215" i="3"/>
  <c r="AK215" i="3"/>
  <c r="AP215" i="3" s="1"/>
  <c r="AQ215" i="3"/>
  <c r="S215" i="3"/>
  <c r="AR215" i="3"/>
  <c r="K215" i="3"/>
  <c r="AS212" i="3"/>
  <c r="AK212" i="3"/>
  <c r="AR212" i="3"/>
  <c r="S212" i="3"/>
  <c r="AQ212" i="3"/>
  <c r="AL212" i="3"/>
  <c r="AM212" i="3" s="1"/>
  <c r="AN212" i="3" s="1"/>
  <c r="K212" i="3"/>
  <c r="AL224" i="3"/>
  <c r="AM224" i="3" s="1"/>
  <c r="AN224" i="3" s="1"/>
  <c r="AS224" i="3"/>
  <c r="AR224" i="3"/>
  <c r="S224" i="3"/>
  <c r="K224" i="3"/>
  <c r="AQ224" i="3"/>
  <c r="AK224" i="3"/>
  <c r="AL228" i="3"/>
  <c r="AM228" i="3" s="1"/>
  <c r="AN228" i="3" s="1"/>
  <c r="AS228" i="3"/>
  <c r="AQ228" i="3"/>
  <c r="S228" i="3"/>
  <c r="AR228" i="3"/>
  <c r="AK228" i="3"/>
  <c r="K228" i="3"/>
  <c r="AL237" i="3"/>
  <c r="AM237" i="3" s="1"/>
  <c r="AN237" i="3" s="1"/>
  <c r="AQ237" i="3"/>
  <c r="AK237" i="3"/>
  <c r="K237" i="3"/>
  <c r="AR237" i="3"/>
  <c r="S237" i="3"/>
  <c r="AS237" i="3"/>
  <c r="AL245" i="3"/>
  <c r="AS245" i="3"/>
  <c r="AK245" i="3"/>
  <c r="AQ245" i="3"/>
  <c r="AM245" i="3"/>
  <c r="AN245" i="3" s="1"/>
  <c r="S245" i="3"/>
  <c r="K245" i="3"/>
  <c r="AR245" i="3"/>
  <c r="AR223" i="3"/>
  <c r="K223" i="3"/>
  <c r="AQ223" i="3"/>
  <c r="AL223" i="3"/>
  <c r="AM223" i="3" s="1"/>
  <c r="AN223" i="3" s="1"/>
  <c r="AK223" i="3"/>
  <c r="AS223" i="3"/>
  <c r="S223" i="3"/>
  <c r="AR231" i="3"/>
  <c r="K231" i="3"/>
  <c r="AQ231" i="3"/>
  <c r="S231" i="3"/>
  <c r="AS231" i="3"/>
  <c r="AK231" i="3"/>
  <c r="AL231" i="3"/>
  <c r="AM231" i="3" s="1"/>
  <c r="AN231" i="3" s="1"/>
  <c r="AS250" i="3"/>
  <c r="AK250" i="3"/>
  <c r="AQ250" i="3"/>
  <c r="AL250" i="3"/>
  <c r="AM250" i="3" s="1"/>
  <c r="AN250" i="3" s="1"/>
  <c r="K250" i="3"/>
  <c r="AR250" i="3"/>
  <c r="S250" i="3"/>
  <c r="AR242" i="3"/>
  <c r="K242" i="3"/>
  <c r="AQ242" i="3"/>
  <c r="S242" i="3"/>
  <c r="AS242" i="3"/>
  <c r="AK242" i="3"/>
  <c r="AL242" i="3"/>
  <c r="AM242" i="3" s="1"/>
  <c r="AN242" i="3" s="1"/>
  <c r="AL255" i="3"/>
  <c r="AS255" i="3"/>
  <c r="AK255" i="3"/>
  <c r="AP255" i="3" s="1"/>
  <c r="AQ255" i="3"/>
  <c r="AM255" i="3"/>
  <c r="AN255" i="3" s="1"/>
  <c r="S255" i="3"/>
  <c r="AR255" i="3"/>
  <c r="K255" i="3"/>
  <c r="AQ251" i="3"/>
  <c r="S251" i="3"/>
  <c r="AS251" i="3"/>
  <c r="AR251" i="3"/>
  <c r="AL251" i="3"/>
  <c r="AM251" i="3" s="1"/>
  <c r="AN251" i="3" s="1"/>
  <c r="K251" i="3"/>
  <c r="AK251" i="3"/>
  <c r="AR259" i="3"/>
  <c r="K259" i="3"/>
  <c r="AS259" i="3"/>
  <c r="S259" i="3"/>
  <c r="AQ259" i="3"/>
  <c r="AL259" i="3"/>
  <c r="AM259" i="3" s="1"/>
  <c r="AN259" i="3" s="1"/>
  <c r="AK259" i="3"/>
  <c r="AS264" i="3"/>
  <c r="AK264" i="3"/>
  <c r="AR264" i="3"/>
  <c r="K264" i="3"/>
  <c r="AL264" i="3"/>
  <c r="AM264" i="3" s="1"/>
  <c r="AN264" i="3" s="1"/>
  <c r="S264" i="3"/>
  <c r="AQ264" i="3"/>
  <c r="AJ106" i="3"/>
  <c r="AJ70" i="3"/>
  <c r="E125" i="3"/>
  <c r="L76" i="3"/>
  <c r="AJ74" i="3"/>
  <c r="AJ66" i="3"/>
  <c r="AJ131" i="3"/>
  <c r="E81" i="3"/>
  <c r="E109" i="3"/>
  <c r="E127" i="3"/>
  <c r="D148" i="3"/>
  <c r="D66" i="3"/>
  <c r="D74" i="3"/>
  <c r="D89" i="3"/>
  <c r="D97" i="3"/>
  <c r="D105" i="3"/>
  <c r="E82" i="3"/>
  <c r="E90" i="3"/>
  <c r="E98" i="3"/>
  <c r="D159" i="3"/>
  <c r="E164" i="3"/>
  <c r="D182" i="3"/>
  <c r="D116" i="3"/>
  <c r="D124" i="3"/>
  <c r="D132" i="3"/>
  <c r="E139" i="3"/>
  <c r="E147" i="3"/>
  <c r="E155" i="3"/>
  <c r="D115" i="3"/>
  <c r="D123" i="3"/>
  <c r="D131" i="3"/>
  <c r="D139" i="3"/>
  <c r="D155" i="3"/>
  <c r="E162" i="3"/>
  <c r="D186" i="3"/>
  <c r="E142" i="3"/>
  <c r="E150" i="3"/>
  <c r="E159" i="3"/>
  <c r="D167" i="3"/>
  <c r="D178" i="3"/>
  <c r="E202" i="3"/>
  <c r="D171" i="3"/>
  <c r="D179" i="3"/>
  <c r="D160" i="3"/>
  <c r="E171" i="3"/>
  <c r="E187" i="3"/>
  <c r="E204" i="3"/>
  <c r="D197" i="3"/>
  <c r="D205" i="3"/>
  <c r="D196" i="3"/>
  <c r="D204" i="3"/>
  <c r="F204" i="3" s="1"/>
  <c r="E212" i="3"/>
  <c r="D213" i="3"/>
  <c r="E205" i="3"/>
  <c r="E213" i="3"/>
  <c r="E222" i="3"/>
  <c r="E216" i="3"/>
  <c r="D223" i="3"/>
  <c r="D231" i="3"/>
  <c r="D215" i="3"/>
  <c r="E223" i="3"/>
  <c r="D242" i="3"/>
  <c r="D228" i="3"/>
  <c r="E243" i="3"/>
  <c r="D239" i="3"/>
  <c r="D247" i="3"/>
  <c r="D250" i="3"/>
  <c r="E248" i="3"/>
  <c r="E249" i="3"/>
  <c r="E257" i="3"/>
  <c r="D255" i="3"/>
  <c r="E262" i="3"/>
  <c r="E261" i="3"/>
  <c r="AJ119" i="3"/>
  <c r="AJ141" i="3"/>
  <c r="AJ67" i="3"/>
  <c r="AJ75" i="3"/>
  <c r="AJ91" i="3"/>
  <c r="AJ107" i="3"/>
  <c r="AJ117" i="3"/>
  <c r="AJ109" i="3"/>
  <c r="AJ178" i="3"/>
  <c r="AJ120" i="3"/>
  <c r="AJ136" i="3"/>
  <c r="AJ144" i="3"/>
  <c r="AJ164" i="3"/>
  <c r="AJ182" i="3"/>
  <c r="AJ175" i="3"/>
  <c r="AJ183" i="3"/>
  <c r="AJ167" i="3"/>
  <c r="AJ190" i="3"/>
  <c r="AJ198" i="3"/>
  <c r="AJ212" i="3"/>
  <c r="AJ202" i="3"/>
  <c r="AJ214" i="3"/>
  <c r="AJ226" i="3"/>
  <c r="AJ237" i="3"/>
  <c r="AJ223" i="3"/>
  <c r="AJ231" i="3"/>
  <c r="AJ245" i="3"/>
  <c r="AJ253" i="3"/>
  <c r="AJ254" i="3"/>
  <c r="AJ261" i="3"/>
  <c r="AJ264" i="3"/>
  <c r="AL72" i="3"/>
  <c r="AM72" i="3" s="1"/>
  <c r="AN72" i="3" s="1"/>
  <c r="AR72" i="3"/>
  <c r="S72" i="3"/>
  <c r="AK72" i="3"/>
  <c r="K72" i="3"/>
  <c r="AQ72" i="3"/>
  <c r="L72" i="3"/>
  <c r="AS72" i="3"/>
  <c r="AS81" i="3"/>
  <c r="AK81" i="3"/>
  <c r="AL81" i="3"/>
  <c r="AM81" i="3" s="1"/>
  <c r="AN81" i="3" s="1"/>
  <c r="K81" i="3"/>
  <c r="AQ81" i="3"/>
  <c r="AR81" i="3"/>
  <c r="S81" i="3"/>
  <c r="AR69" i="3"/>
  <c r="K69" i="3"/>
  <c r="AK69" i="3"/>
  <c r="AS69" i="3"/>
  <c r="S69" i="3"/>
  <c r="AQ69" i="3"/>
  <c r="AL69" i="3"/>
  <c r="AM69" i="3" s="1"/>
  <c r="AN69" i="3" s="1"/>
  <c r="L69" i="3"/>
  <c r="AQ102" i="3"/>
  <c r="S102" i="3"/>
  <c r="AR102" i="3"/>
  <c r="AL102" i="3"/>
  <c r="AM102" i="3" s="1"/>
  <c r="AN102" i="3" s="1"/>
  <c r="AK102" i="3"/>
  <c r="K102" i="3"/>
  <c r="AS102" i="3"/>
  <c r="AS151" i="3"/>
  <c r="AK151" i="3"/>
  <c r="AL151" i="3"/>
  <c r="AM151" i="3" s="1"/>
  <c r="AN151" i="3" s="1"/>
  <c r="S151" i="3"/>
  <c r="K151" i="3"/>
  <c r="AQ151" i="3"/>
  <c r="AR151" i="3"/>
  <c r="AL156" i="3"/>
  <c r="AM156" i="3" s="1"/>
  <c r="AN156" i="3" s="1"/>
  <c r="AS156" i="3"/>
  <c r="K156" i="3"/>
  <c r="AK156" i="3"/>
  <c r="AR156" i="3"/>
  <c r="S156" i="3"/>
  <c r="AQ156" i="3"/>
  <c r="AR128" i="3"/>
  <c r="K128" i="3"/>
  <c r="AK128" i="3"/>
  <c r="AP128" i="3" s="1"/>
  <c r="AQ128" i="3"/>
  <c r="AL128" i="3"/>
  <c r="AM128" i="3" s="1"/>
  <c r="AN128" i="3" s="1"/>
  <c r="AS128" i="3"/>
  <c r="S128" i="3"/>
  <c r="AL168" i="3"/>
  <c r="AM168" i="3" s="1"/>
  <c r="AN168" i="3" s="1"/>
  <c r="AS168" i="3"/>
  <c r="AK168" i="3"/>
  <c r="AR168" i="3"/>
  <c r="S168" i="3"/>
  <c r="K168" i="3"/>
  <c r="AQ168" i="3"/>
  <c r="AR163" i="3"/>
  <c r="K163" i="3"/>
  <c r="AQ163" i="3"/>
  <c r="AL163" i="3"/>
  <c r="AM163" i="3" s="1"/>
  <c r="AN163" i="3" s="1"/>
  <c r="AS163" i="3"/>
  <c r="S163" i="3"/>
  <c r="AK163" i="3"/>
  <c r="AL194" i="3"/>
  <c r="AM194" i="3" s="1"/>
  <c r="AN194" i="3" s="1"/>
  <c r="K194" i="3"/>
  <c r="AS194" i="3"/>
  <c r="AQ194" i="3"/>
  <c r="AK194" i="3"/>
  <c r="AR194" i="3"/>
  <c r="S194" i="3"/>
  <c r="AQ205" i="3"/>
  <c r="S205" i="3"/>
  <c r="AK205" i="3"/>
  <c r="AP205" i="3" s="1"/>
  <c r="AS205" i="3"/>
  <c r="AL205" i="3"/>
  <c r="AM205" i="3" s="1"/>
  <c r="AN205" i="3" s="1"/>
  <c r="K205" i="3"/>
  <c r="AR205" i="3"/>
  <c r="AL230" i="3"/>
  <c r="AM230" i="3" s="1"/>
  <c r="AN230" i="3" s="1"/>
  <c r="AS230" i="3"/>
  <c r="AK230" i="3"/>
  <c r="AQ230" i="3"/>
  <c r="S230" i="3"/>
  <c r="AR230" i="3"/>
  <c r="K230" i="3"/>
  <c r="AR225" i="3"/>
  <c r="K225" i="3"/>
  <c r="AQ225" i="3"/>
  <c r="AL225" i="3"/>
  <c r="AM225" i="3" s="1"/>
  <c r="AN225" i="3" s="1"/>
  <c r="AK225" i="3"/>
  <c r="AS225" i="3"/>
  <c r="S225" i="3"/>
  <c r="AR244" i="3"/>
  <c r="K244" i="3"/>
  <c r="AQ244" i="3"/>
  <c r="S244" i="3"/>
  <c r="AS244" i="3"/>
  <c r="AK244" i="3"/>
  <c r="AL244" i="3"/>
  <c r="AM244" i="3" s="1"/>
  <c r="AN244" i="3" s="1"/>
  <c r="E111" i="3"/>
  <c r="D136" i="3"/>
  <c r="E206" i="3"/>
  <c r="D225" i="3"/>
  <c r="D233" i="3"/>
  <c r="E225" i="3"/>
  <c r="D230" i="3"/>
  <c r="D257" i="3"/>
  <c r="AJ69" i="3"/>
  <c r="AJ230" i="3"/>
  <c r="AJ225" i="3"/>
  <c r="AJ247" i="3"/>
  <c r="L78" i="3"/>
  <c r="L111" i="3"/>
  <c r="L128" i="3"/>
  <c r="L156" i="3"/>
  <c r="L163" i="3"/>
  <c r="L177" i="3"/>
  <c r="L183" i="3"/>
  <c r="L204" i="3"/>
  <c r="L236" i="3"/>
  <c r="L230" i="3"/>
  <c r="L239" i="3"/>
  <c r="AS85" i="3"/>
  <c r="AK85" i="3"/>
  <c r="AQ85" i="3"/>
  <c r="AL85" i="3"/>
  <c r="AM85" i="3" s="1"/>
  <c r="AN85" i="3" s="1"/>
  <c r="K85" i="3"/>
  <c r="AR85" i="3"/>
  <c r="S85" i="3"/>
  <c r="AS93" i="3"/>
  <c r="AK93" i="3"/>
  <c r="AQ93" i="3"/>
  <c r="AL93" i="3"/>
  <c r="AM93" i="3" s="1"/>
  <c r="AN93" i="3" s="1"/>
  <c r="K93" i="3"/>
  <c r="AR93" i="3"/>
  <c r="S93" i="3"/>
  <c r="AS101" i="3"/>
  <c r="AK101" i="3"/>
  <c r="AP101" i="3" s="1"/>
  <c r="AQ101" i="3"/>
  <c r="AL101" i="3"/>
  <c r="AM101" i="3" s="1"/>
  <c r="AN101" i="3" s="1"/>
  <c r="K101" i="3"/>
  <c r="AR101" i="3"/>
  <c r="S101" i="3"/>
  <c r="AS83" i="3"/>
  <c r="AK83" i="3"/>
  <c r="AP83" i="3" s="1"/>
  <c r="AQ83" i="3"/>
  <c r="AL83" i="3"/>
  <c r="AM83" i="3" s="1"/>
  <c r="AN83" i="3" s="1"/>
  <c r="K83" i="3"/>
  <c r="AR83" i="3"/>
  <c r="S83" i="3"/>
  <c r="AR71" i="3"/>
  <c r="K71" i="3"/>
  <c r="AK71" i="3"/>
  <c r="S71" i="3"/>
  <c r="AQ71" i="3"/>
  <c r="AL71" i="3"/>
  <c r="AM71" i="3" s="1"/>
  <c r="AN71" i="3" s="1"/>
  <c r="L71" i="3"/>
  <c r="AS71" i="3"/>
  <c r="AR79" i="3"/>
  <c r="K79" i="3"/>
  <c r="AQ79" i="3"/>
  <c r="S79" i="3"/>
  <c r="AL79" i="3"/>
  <c r="AM79" i="3" s="1"/>
  <c r="AN79" i="3" s="1"/>
  <c r="AK79" i="3"/>
  <c r="AS79" i="3"/>
  <c r="AQ88" i="3"/>
  <c r="S88" i="3"/>
  <c r="AR88" i="3"/>
  <c r="AL88" i="3"/>
  <c r="AM88" i="3" s="1"/>
  <c r="AN88" i="3" s="1"/>
  <c r="AK88" i="3"/>
  <c r="AP88" i="3" s="1"/>
  <c r="K88" i="3"/>
  <c r="AS88" i="3"/>
  <c r="D88" i="3"/>
  <c r="AQ96" i="3"/>
  <c r="S96" i="3"/>
  <c r="AR96" i="3"/>
  <c r="AL96" i="3"/>
  <c r="AM96" i="3" s="1"/>
  <c r="AN96" i="3" s="1"/>
  <c r="AK96" i="3"/>
  <c r="AP96" i="3" s="1"/>
  <c r="K96" i="3"/>
  <c r="AS96" i="3"/>
  <c r="D96" i="3"/>
  <c r="AQ104" i="3"/>
  <c r="S104" i="3"/>
  <c r="AR104" i="3"/>
  <c r="AL104" i="3"/>
  <c r="AM104" i="3" s="1"/>
  <c r="AN104" i="3" s="1"/>
  <c r="AK104" i="3"/>
  <c r="AP104" i="3" s="1"/>
  <c r="K104" i="3"/>
  <c r="AS104" i="3"/>
  <c r="AL112" i="3"/>
  <c r="AM112" i="3" s="1"/>
  <c r="AN112" i="3" s="1"/>
  <c r="AQ112" i="3"/>
  <c r="S112" i="3"/>
  <c r="AR112" i="3"/>
  <c r="AS112" i="3"/>
  <c r="AK112" i="3"/>
  <c r="K112" i="3"/>
  <c r="AS137" i="3"/>
  <c r="AK137" i="3"/>
  <c r="AL137" i="3"/>
  <c r="AM137" i="3" s="1"/>
  <c r="AN137" i="3" s="1"/>
  <c r="S137" i="3"/>
  <c r="K137" i="3"/>
  <c r="AQ137" i="3"/>
  <c r="AR137" i="3"/>
  <c r="AS145" i="3"/>
  <c r="AK145" i="3"/>
  <c r="AP145" i="3" s="1"/>
  <c r="AL145" i="3"/>
  <c r="AM145" i="3" s="1"/>
  <c r="AN145" i="3" s="1"/>
  <c r="S145" i="3"/>
  <c r="K145" i="3"/>
  <c r="AQ145" i="3"/>
  <c r="AR145" i="3"/>
  <c r="AS153" i="3"/>
  <c r="AK153" i="3"/>
  <c r="AP153" i="3" s="1"/>
  <c r="AL153" i="3"/>
  <c r="AM153" i="3" s="1"/>
  <c r="AN153" i="3" s="1"/>
  <c r="S153" i="3"/>
  <c r="K153" i="3"/>
  <c r="AQ153" i="3"/>
  <c r="AR153" i="3"/>
  <c r="AR113" i="3"/>
  <c r="K113" i="3"/>
  <c r="AS113" i="3"/>
  <c r="AK113" i="3"/>
  <c r="S113" i="3"/>
  <c r="AQ113" i="3"/>
  <c r="AL113" i="3"/>
  <c r="AM113" i="3" s="1"/>
  <c r="AN113" i="3" s="1"/>
  <c r="AL121" i="3"/>
  <c r="AM121" i="3" s="1"/>
  <c r="AN121" i="3" s="1"/>
  <c r="AR121" i="3"/>
  <c r="S121" i="3"/>
  <c r="AS121" i="3"/>
  <c r="AK121" i="3"/>
  <c r="AQ121" i="3"/>
  <c r="K121" i="3"/>
  <c r="AL129" i="3"/>
  <c r="AM129" i="3" s="1"/>
  <c r="AN129" i="3" s="1"/>
  <c r="AR129" i="3"/>
  <c r="S129" i="3"/>
  <c r="AQ129" i="3"/>
  <c r="AK129" i="3"/>
  <c r="AS129" i="3"/>
  <c r="K129" i="3"/>
  <c r="AL158" i="3"/>
  <c r="AM158" i="3" s="1"/>
  <c r="AN158" i="3" s="1"/>
  <c r="AS158" i="3"/>
  <c r="K158" i="3"/>
  <c r="AK158" i="3"/>
  <c r="AR158" i="3"/>
  <c r="S158" i="3"/>
  <c r="AQ158" i="3"/>
  <c r="AQ179" i="3"/>
  <c r="S179" i="3"/>
  <c r="AK179" i="3"/>
  <c r="K179" i="3"/>
  <c r="AR179" i="3"/>
  <c r="AL179" i="3"/>
  <c r="AM179" i="3" s="1"/>
  <c r="AN179" i="3" s="1"/>
  <c r="AS179" i="3"/>
  <c r="AR122" i="3"/>
  <c r="K122" i="3"/>
  <c r="AK122" i="3"/>
  <c r="AQ122" i="3"/>
  <c r="AL122" i="3"/>
  <c r="AM122" i="3" s="1"/>
  <c r="AN122" i="3" s="1"/>
  <c r="S122" i="3"/>
  <c r="AS122" i="3"/>
  <c r="AR130" i="3"/>
  <c r="K130" i="3"/>
  <c r="AK130" i="3"/>
  <c r="AP130" i="3" s="1"/>
  <c r="AQ130" i="3"/>
  <c r="AL130" i="3"/>
  <c r="AM130" i="3" s="1"/>
  <c r="AN130" i="3" s="1"/>
  <c r="AS130" i="3"/>
  <c r="S130" i="3"/>
  <c r="AQ138" i="3"/>
  <c r="S138" i="3"/>
  <c r="AR138" i="3"/>
  <c r="K138" i="3"/>
  <c r="AS138" i="3"/>
  <c r="AK138" i="3"/>
  <c r="AP138" i="3" s="1"/>
  <c r="AL138" i="3"/>
  <c r="AM138" i="3" s="1"/>
  <c r="AN138" i="3" s="1"/>
  <c r="AQ146" i="3"/>
  <c r="S146" i="3"/>
  <c r="AR146" i="3"/>
  <c r="K146" i="3"/>
  <c r="AS146" i="3"/>
  <c r="AK146" i="3"/>
  <c r="AL146" i="3"/>
  <c r="AM146" i="3" s="1"/>
  <c r="AN146" i="3" s="1"/>
  <c r="AQ154" i="3"/>
  <c r="S154" i="3"/>
  <c r="AR154" i="3"/>
  <c r="K154" i="3"/>
  <c r="AS154" i="3"/>
  <c r="AK154" i="3"/>
  <c r="AP154" i="3" s="1"/>
  <c r="AL154" i="3"/>
  <c r="AM154" i="3" s="1"/>
  <c r="AN154" i="3" s="1"/>
  <c r="AQ173" i="3"/>
  <c r="S173" i="3"/>
  <c r="AK173" i="3"/>
  <c r="K173" i="3"/>
  <c r="AR173" i="3"/>
  <c r="AS173" i="3"/>
  <c r="AL173" i="3"/>
  <c r="AM173" i="3" s="1"/>
  <c r="AN173" i="3" s="1"/>
  <c r="AR187" i="3"/>
  <c r="AS187" i="3"/>
  <c r="S187" i="3"/>
  <c r="AQ187" i="3"/>
  <c r="AL187" i="3"/>
  <c r="AM187" i="3" s="1"/>
  <c r="AN187" i="3" s="1"/>
  <c r="AK187" i="3"/>
  <c r="K187" i="3"/>
  <c r="AR157" i="3"/>
  <c r="K157" i="3"/>
  <c r="AQ157" i="3"/>
  <c r="AL157" i="3"/>
  <c r="AM157" i="3" s="1"/>
  <c r="AN157" i="3" s="1"/>
  <c r="AS157" i="3"/>
  <c r="S157" i="3"/>
  <c r="AK157" i="3"/>
  <c r="AR165" i="3"/>
  <c r="K165" i="3"/>
  <c r="AQ165" i="3"/>
  <c r="S165" i="3"/>
  <c r="AS165" i="3"/>
  <c r="AK165" i="3"/>
  <c r="AL165" i="3"/>
  <c r="AM165" i="3" s="1"/>
  <c r="AN165" i="3" s="1"/>
  <c r="AS172" i="3"/>
  <c r="AK172" i="3"/>
  <c r="AR172" i="3"/>
  <c r="S172" i="3"/>
  <c r="AQ172" i="3"/>
  <c r="K172" i="3"/>
  <c r="AL172" i="3"/>
  <c r="AM172" i="3" s="1"/>
  <c r="AN172" i="3" s="1"/>
  <c r="AS180" i="3"/>
  <c r="AK180" i="3"/>
  <c r="AR180" i="3"/>
  <c r="S180" i="3"/>
  <c r="AQ180" i="3"/>
  <c r="AL180" i="3"/>
  <c r="AM180" i="3" s="1"/>
  <c r="AN180" i="3" s="1"/>
  <c r="K180" i="3"/>
  <c r="AR184" i="3"/>
  <c r="K184" i="3"/>
  <c r="AQ184" i="3"/>
  <c r="S184" i="3"/>
  <c r="AS184" i="3"/>
  <c r="AK184" i="3"/>
  <c r="AP184" i="3" s="1"/>
  <c r="AL184" i="3"/>
  <c r="AM184" i="3" s="1"/>
  <c r="AN184" i="3" s="1"/>
  <c r="AL200" i="3"/>
  <c r="AM200" i="3" s="1"/>
  <c r="AN200" i="3" s="1"/>
  <c r="AS200" i="3"/>
  <c r="AK200" i="3"/>
  <c r="AP200" i="3" s="1"/>
  <c r="AR200" i="3"/>
  <c r="K200" i="3"/>
  <c r="S200" i="3"/>
  <c r="AQ200" i="3"/>
  <c r="AQ209" i="3"/>
  <c r="S209" i="3"/>
  <c r="AK209" i="3"/>
  <c r="K209" i="3"/>
  <c r="AR209" i="3"/>
  <c r="AS209" i="3"/>
  <c r="AL209" i="3"/>
  <c r="AM209" i="3" s="1"/>
  <c r="AN209" i="3" s="1"/>
  <c r="AR191" i="3"/>
  <c r="K191" i="3"/>
  <c r="AS191" i="3"/>
  <c r="S191" i="3"/>
  <c r="AQ191" i="3"/>
  <c r="AL191" i="3"/>
  <c r="AM191" i="3" s="1"/>
  <c r="AN191" i="3" s="1"/>
  <c r="AK191" i="3"/>
  <c r="AR199" i="3"/>
  <c r="K199" i="3"/>
  <c r="AQ199" i="3"/>
  <c r="S199" i="3"/>
  <c r="AL199" i="3"/>
  <c r="AM199" i="3" s="1"/>
  <c r="AN199" i="3" s="1"/>
  <c r="AS199" i="3"/>
  <c r="AK199" i="3"/>
  <c r="AQ211" i="3"/>
  <c r="S211" i="3"/>
  <c r="AK211" i="3"/>
  <c r="K211" i="3"/>
  <c r="AS211" i="3"/>
  <c r="AR211" i="3"/>
  <c r="AL211" i="3"/>
  <c r="AM211" i="3" s="1"/>
  <c r="AN211" i="3" s="1"/>
  <c r="AS208" i="3"/>
  <c r="AK208" i="3"/>
  <c r="AR208" i="3"/>
  <c r="AL208" i="3"/>
  <c r="AM208" i="3" s="1"/>
  <c r="AN208" i="3" s="1"/>
  <c r="S208" i="3"/>
  <c r="K208" i="3"/>
  <c r="AQ208" i="3"/>
  <c r="AL220" i="3"/>
  <c r="AM220" i="3" s="1"/>
  <c r="AN220" i="3" s="1"/>
  <c r="AS220" i="3"/>
  <c r="AR220" i="3"/>
  <c r="S220" i="3"/>
  <c r="K220" i="3"/>
  <c r="AQ220" i="3"/>
  <c r="AK220" i="3"/>
  <c r="AR216" i="3"/>
  <c r="K216" i="3"/>
  <c r="AQ216" i="3"/>
  <c r="S216" i="3"/>
  <c r="AS216" i="3"/>
  <c r="AK216" i="3"/>
  <c r="AP216" i="3" s="1"/>
  <c r="AL216" i="3"/>
  <c r="AM216" i="3" s="1"/>
  <c r="AN216" i="3" s="1"/>
  <c r="AL232" i="3"/>
  <c r="AM232" i="3" s="1"/>
  <c r="AN232" i="3" s="1"/>
  <c r="AS232" i="3"/>
  <c r="AK232" i="3"/>
  <c r="AQ232" i="3"/>
  <c r="S232" i="3"/>
  <c r="AR232" i="3"/>
  <c r="K232" i="3"/>
  <c r="AS252" i="3"/>
  <c r="AK252" i="3"/>
  <c r="AQ252" i="3"/>
  <c r="AL252" i="3"/>
  <c r="AM252" i="3" s="1"/>
  <c r="AN252" i="3" s="1"/>
  <c r="K252" i="3"/>
  <c r="AR252" i="3"/>
  <c r="S252" i="3"/>
  <c r="AR219" i="3"/>
  <c r="K219" i="3"/>
  <c r="AQ219" i="3"/>
  <c r="AL219" i="3"/>
  <c r="AM219" i="3" s="1"/>
  <c r="AN219" i="3" s="1"/>
  <c r="AK219" i="3"/>
  <c r="AS219" i="3"/>
  <c r="S219" i="3"/>
  <c r="AR227" i="3"/>
  <c r="K227" i="3"/>
  <c r="AQ227" i="3"/>
  <c r="AL227" i="3"/>
  <c r="AM227" i="3" s="1"/>
  <c r="AN227" i="3" s="1"/>
  <c r="AK227" i="3"/>
  <c r="AS227" i="3"/>
  <c r="S227" i="3"/>
  <c r="AL235" i="3"/>
  <c r="AM235" i="3" s="1"/>
  <c r="AN235" i="3" s="1"/>
  <c r="AQ235" i="3"/>
  <c r="AK235" i="3"/>
  <c r="K235" i="3"/>
  <c r="S235" i="3"/>
  <c r="AR235" i="3"/>
  <c r="AS235" i="3"/>
  <c r="AR238" i="3"/>
  <c r="K238" i="3"/>
  <c r="AS238" i="3"/>
  <c r="S238" i="3"/>
  <c r="AK238" i="3"/>
  <c r="AP238" i="3" s="1"/>
  <c r="AQ238" i="3"/>
  <c r="AL238" i="3"/>
  <c r="AM238" i="3" s="1"/>
  <c r="AN238" i="3" s="1"/>
  <c r="AR246" i="3"/>
  <c r="K246" i="3"/>
  <c r="AQ246" i="3"/>
  <c r="S246" i="3"/>
  <c r="AS246" i="3"/>
  <c r="AK246" i="3"/>
  <c r="AP246" i="3" s="1"/>
  <c r="AL246" i="3"/>
  <c r="AM246" i="3" s="1"/>
  <c r="AN246" i="3" s="1"/>
  <c r="AS260" i="3"/>
  <c r="AK260" i="3"/>
  <c r="AR260" i="3"/>
  <c r="AL260" i="3"/>
  <c r="AM260" i="3" s="1"/>
  <c r="AN260" i="3" s="1"/>
  <c r="K260" i="3"/>
  <c r="AQ260" i="3"/>
  <c r="S260" i="3"/>
  <c r="AL258" i="3"/>
  <c r="AM258" i="3" s="1"/>
  <c r="AN258" i="3" s="1"/>
  <c r="K258" i="3"/>
  <c r="AS258" i="3"/>
  <c r="AQ258" i="3"/>
  <c r="AK258" i="3"/>
  <c r="AR258" i="3"/>
  <c r="S258" i="3"/>
  <c r="AQ263" i="3"/>
  <c r="S263" i="3"/>
  <c r="AL263" i="3"/>
  <c r="AM263" i="3" s="1"/>
  <c r="AN263" i="3" s="1"/>
  <c r="AR263" i="3"/>
  <c r="K263" i="3"/>
  <c r="AS263" i="3"/>
  <c r="AK263" i="3"/>
  <c r="AP263" i="3" s="1"/>
  <c r="AJ121" i="3"/>
  <c r="AJ102" i="3"/>
  <c r="E74" i="3"/>
  <c r="AJ76" i="3"/>
  <c r="L119" i="3"/>
  <c r="E83" i="3"/>
  <c r="E75" i="3"/>
  <c r="E67" i="3"/>
  <c r="E89" i="3"/>
  <c r="E97" i="3"/>
  <c r="E105" i="3"/>
  <c r="E113" i="3"/>
  <c r="D144" i="3"/>
  <c r="E79" i="3"/>
  <c r="D70" i="3"/>
  <c r="D85" i="3"/>
  <c r="D93" i="3"/>
  <c r="D101" i="3"/>
  <c r="D109" i="3"/>
  <c r="E129" i="3"/>
  <c r="D172" i="3"/>
  <c r="E86" i="3"/>
  <c r="E94" i="3"/>
  <c r="E102" i="3"/>
  <c r="E110" i="3"/>
  <c r="E118" i="3"/>
  <c r="E126" i="3"/>
  <c r="E134" i="3"/>
  <c r="D163" i="3"/>
  <c r="E168" i="3"/>
  <c r="D112" i="3"/>
  <c r="D128" i="3"/>
  <c r="E135" i="3"/>
  <c r="E143" i="3"/>
  <c r="E151" i="3"/>
  <c r="D119" i="3"/>
  <c r="D135" i="3"/>
  <c r="F135" i="3" s="1"/>
  <c r="D151" i="3"/>
  <c r="E158" i="3"/>
  <c r="D176" i="3"/>
  <c r="E138" i="3"/>
  <c r="E146" i="3"/>
  <c r="E154" i="3"/>
  <c r="E163" i="3"/>
  <c r="D170" i="3"/>
  <c r="D189" i="3"/>
  <c r="D175" i="3"/>
  <c r="D156" i="3"/>
  <c r="D191" i="3"/>
  <c r="E175" i="3"/>
  <c r="E183" i="3"/>
  <c r="E186" i="3"/>
  <c r="E208" i="3"/>
  <c r="E190" i="3"/>
  <c r="D212" i="3"/>
  <c r="D201" i="3"/>
  <c r="D214" i="3"/>
  <c r="D206" i="3"/>
  <c r="D192" i="3"/>
  <c r="D200" i="3"/>
  <c r="D207" i="3"/>
  <c r="D244" i="3"/>
  <c r="E209" i="3"/>
  <c r="E217" i="3"/>
  <c r="D219" i="3"/>
  <c r="D227" i="3"/>
  <c r="D235" i="3"/>
  <c r="E219" i="3"/>
  <c r="E227" i="3"/>
  <c r="E228" i="3"/>
  <c r="D236" i="3"/>
  <c r="E231" i="3"/>
  <c r="E239" i="3"/>
  <c r="D224" i="3"/>
  <c r="D232" i="3"/>
  <c r="D251" i="3"/>
  <c r="E252" i="3"/>
  <c r="E253" i="3"/>
  <c r="E258" i="3"/>
  <c r="D258" i="3"/>
  <c r="D261" i="3"/>
  <c r="E72" i="3"/>
  <c r="AJ133" i="3"/>
  <c r="AJ71" i="3"/>
  <c r="AJ79" i="3"/>
  <c r="AJ87" i="3"/>
  <c r="AJ95" i="3"/>
  <c r="AJ139" i="3"/>
  <c r="AJ113" i="3"/>
  <c r="AJ156" i="3"/>
  <c r="AJ172" i="3"/>
  <c r="AJ168" i="3"/>
  <c r="AJ171" i="3"/>
  <c r="AJ179" i="3"/>
  <c r="AJ163" i="3"/>
  <c r="AJ194" i="3"/>
  <c r="AJ189" i="3"/>
  <c r="AJ209" i="3"/>
  <c r="AJ232" i="3"/>
  <c r="AJ228" i="3"/>
  <c r="AJ219" i="3"/>
  <c r="AP219" i="3" s="1"/>
  <c r="AJ227" i="3"/>
  <c r="AJ241" i="3"/>
  <c r="AJ242" i="3"/>
  <c r="AJ250" i="3"/>
  <c r="AJ258" i="3"/>
  <c r="AJ260" i="3"/>
  <c r="L154" i="3"/>
  <c r="AL68" i="3"/>
  <c r="AM68" i="3" s="1"/>
  <c r="AN68" i="3" s="1"/>
  <c r="AR68" i="3"/>
  <c r="S68" i="3"/>
  <c r="AK68" i="3"/>
  <c r="AP68" i="3" s="1"/>
  <c r="L68" i="3"/>
  <c r="AQ68" i="3"/>
  <c r="AS68" i="3"/>
  <c r="K68" i="3"/>
  <c r="AS99" i="3"/>
  <c r="AK99" i="3"/>
  <c r="AP99" i="3" s="1"/>
  <c r="AQ99" i="3"/>
  <c r="AL99" i="3"/>
  <c r="AM99" i="3" s="1"/>
  <c r="AN99" i="3" s="1"/>
  <c r="K99" i="3"/>
  <c r="AR99" i="3"/>
  <c r="S99" i="3"/>
  <c r="AR77" i="3"/>
  <c r="K77" i="3"/>
  <c r="S77" i="3"/>
  <c r="AQ77" i="3"/>
  <c r="AS77" i="3"/>
  <c r="AL77" i="3"/>
  <c r="AM77" i="3" s="1"/>
  <c r="AN77" i="3" s="1"/>
  <c r="AK77" i="3"/>
  <c r="AL110" i="3"/>
  <c r="AM110" i="3" s="1"/>
  <c r="AN110" i="3" s="1"/>
  <c r="AQ110" i="3"/>
  <c r="S110" i="3"/>
  <c r="AR110" i="3"/>
  <c r="AS110" i="3"/>
  <c r="AK110" i="3"/>
  <c r="AP110" i="3" s="1"/>
  <c r="K110" i="3"/>
  <c r="AS143" i="3"/>
  <c r="AK143" i="3"/>
  <c r="AL143" i="3"/>
  <c r="AM143" i="3" s="1"/>
  <c r="AN143" i="3" s="1"/>
  <c r="S143" i="3"/>
  <c r="K143" i="3"/>
  <c r="AQ143" i="3"/>
  <c r="AR143" i="3"/>
  <c r="AL127" i="3"/>
  <c r="AM127" i="3" s="1"/>
  <c r="AN127" i="3" s="1"/>
  <c r="AR127" i="3"/>
  <c r="S127" i="3"/>
  <c r="AQ127" i="3"/>
  <c r="AK127" i="3"/>
  <c r="AS127" i="3"/>
  <c r="K127" i="3"/>
  <c r="AR120" i="3"/>
  <c r="K120" i="3"/>
  <c r="AK120" i="3"/>
  <c r="AQ120" i="3"/>
  <c r="AL120" i="3"/>
  <c r="AM120" i="3" s="1"/>
  <c r="AN120" i="3" s="1"/>
  <c r="AS120" i="3"/>
  <c r="S120" i="3"/>
  <c r="AQ152" i="3"/>
  <c r="S152" i="3"/>
  <c r="AR152" i="3"/>
  <c r="K152" i="3"/>
  <c r="AS152" i="3"/>
  <c r="AK152" i="3"/>
  <c r="AP152" i="3" s="1"/>
  <c r="AL152" i="3"/>
  <c r="AM152" i="3" s="1"/>
  <c r="AN152" i="3" s="1"/>
  <c r="AS170" i="3"/>
  <c r="AK170" i="3"/>
  <c r="AP170" i="3" s="1"/>
  <c r="AR170" i="3"/>
  <c r="S170" i="3"/>
  <c r="AQ170" i="3"/>
  <c r="AL170" i="3"/>
  <c r="AM170" i="3" s="1"/>
  <c r="AN170" i="3" s="1"/>
  <c r="K170" i="3"/>
  <c r="AL198" i="3"/>
  <c r="AM198" i="3" s="1"/>
  <c r="AN198" i="3" s="1"/>
  <c r="AS198" i="3"/>
  <c r="AK198" i="3"/>
  <c r="AR198" i="3"/>
  <c r="K198" i="3"/>
  <c r="S198" i="3"/>
  <c r="AQ198" i="3"/>
  <c r="AR197" i="3"/>
  <c r="K197" i="3"/>
  <c r="AQ197" i="3"/>
  <c r="S197" i="3"/>
  <c r="AL197" i="3"/>
  <c r="AM197" i="3" s="1"/>
  <c r="AN197" i="3" s="1"/>
  <c r="AS197" i="3"/>
  <c r="AK197" i="3"/>
  <c r="AP197" i="3" s="1"/>
  <c r="AL226" i="3"/>
  <c r="AM226" i="3" s="1"/>
  <c r="AN226" i="3" s="1"/>
  <c r="AS226" i="3"/>
  <c r="AR226" i="3"/>
  <c r="S226" i="3"/>
  <c r="K226" i="3"/>
  <c r="AK226" i="3"/>
  <c r="AQ226" i="3"/>
  <c r="AS247" i="3"/>
  <c r="AK247" i="3"/>
  <c r="AR247" i="3"/>
  <c r="S247" i="3"/>
  <c r="AQ247" i="3"/>
  <c r="AL247" i="3"/>
  <c r="AM247" i="3" s="1"/>
  <c r="AN247" i="3" s="1"/>
  <c r="K247" i="3"/>
  <c r="AL257" i="3"/>
  <c r="AM257" i="3" s="1"/>
  <c r="AN257" i="3" s="1"/>
  <c r="AS257" i="3"/>
  <c r="AK257" i="3"/>
  <c r="AP257" i="3" s="1"/>
  <c r="AQ257" i="3"/>
  <c r="S257" i="3"/>
  <c r="AR257" i="3"/>
  <c r="AT257" i="3" s="1"/>
  <c r="K257" i="3"/>
  <c r="AL78" i="3"/>
  <c r="AM78" i="3" s="1"/>
  <c r="AN78" i="3" s="1"/>
  <c r="AS78" i="3"/>
  <c r="AK78" i="3"/>
  <c r="AR78" i="3"/>
  <c r="AQ78" i="3"/>
  <c r="S78" i="3"/>
  <c r="K78" i="3"/>
  <c r="E69" i="3"/>
  <c r="D99" i="3"/>
  <c r="D107" i="3"/>
  <c r="D110" i="3"/>
  <c r="E156" i="3"/>
  <c r="E144" i="3"/>
  <c r="E152" i="3"/>
  <c r="E214" i="3"/>
  <c r="AJ77" i="3"/>
  <c r="AJ127" i="3"/>
  <c r="AJ111" i="3"/>
  <c r="AJ204" i="3"/>
  <c r="L152" i="3"/>
  <c r="L77" i="3"/>
  <c r="AS103" i="3"/>
  <c r="AK103" i="3"/>
  <c r="AP103" i="3" s="1"/>
  <c r="AQ103" i="3"/>
  <c r="AL103" i="3"/>
  <c r="AM103" i="3" s="1"/>
  <c r="AN103" i="3" s="1"/>
  <c r="K103" i="3"/>
  <c r="AR103" i="3"/>
  <c r="S103" i="3"/>
  <c r="AR73" i="3"/>
  <c r="K73" i="3"/>
  <c r="AK73" i="3"/>
  <c r="AS73" i="3"/>
  <c r="S73" i="3"/>
  <c r="AQ73" i="3"/>
  <c r="AL73" i="3"/>
  <c r="AM73" i="3" s="1"/>
  <c r="AN73" i="3" s="1"/>
  <c r="L73" i="3"/>
  <c r="AQ90" i="3"/>
  <c r="S90" i="3"/>
  <c r="AR90" i="3"/>
  <c r="AL90" i="3"/>
  <c r="AM90" i="3" s="1"/>
  <c r="AN90" i="3" s="1"/>
  <c r="AK90" i="3"/>
  <c r="AP90" i="3" s="1"/>
  <c r="K90" i="3"/>
  <c r="AS90" i="3"/>
  <c r="AQ106" i="3"/>
  <c r="S106" i="3"/>
  <c r="AR106" i="3"/>
  <c r="AL106" i="3"/>
  <c r="AM106" i="3" s="1"/>
  <c r="AN106" i="3" s="1"/>
  <c r="AK106" i="3"/>
  <c r="K106" i="3"/>
  <c r="AS106" i="3"/>
  <c r="AR114" i="3"/>
  <c r="AK114" i="3"/>
  <c r="AQ114" i="3"/>
  <c r="AL114" i="3"/>
  <c r="AM114" i="3" s="1"/>
  <c r="AN114" i="3" s="1"/>
  <c r="S114" i="3"/>
  <c r="K114" i="3"/>
  <c r="AS114" i="3"/>
  <c r="AS147" i="3"/>
  <c r="AK147" i="3"/>
  <c r="AL147" i="3"/>
  <c r="AM147" i="3" s="1"/>
  <c r="AN147" i="3" s="1"/>
  <c r="S147" i="3"/>
  <c r="K147" i="3"/>
  <c r="AQ147" i="3"/>
  <c r="AR147" i="3"/>
  <c r="AR155" i="3"/>
  <c r="AQ155" i="3"/>
  <c r="AL155" i="3"/>
  <c r="AM155" i="3" s="1"/>
  <c r="AN155" i="3" s="1"/>
  <c r="AS155" i="3"/>
  <c r="S155" i="3"/>
  <c r="AK155" i="3"/>
  <c r="AP155" i="3" s="1"/>
  <c r="K155" i="3"/>
  <c r="AL115" i="3"/>
  <c r="AM115" i="3" s="1"/>
  <c r="AN115" i="3" s="1"/>
  <c r="AR115" i="3"/>
  <c r="S115" i="3"/>
  <c r="AS115" i="3"/>
  <c r="AK115" i="3"/>
  <c r="AP115" i="3" s="1"/>
  <c r="K115" i="3"/>
  <c r="AQ115" i="3"/>
  <c r="AL123" i="3"/>
  <c r="AM123" i="3" s="1"/>
  <c r="AN123" i="3" s="1"/>
  <c r="AR123" i="3"/>
  <c r="S123" i="3"/>
  <c r="AQ123" i="3"/>
  <c r="AK123" i="3"/>
  <c r="AP123" i="3" s="1"/>
  <c r="AS123" i="3"/>
  <c r="K123" i="3"/>
  <c r="AL131" i="3"/>
  <c r="AM131" i="3" s="1"/>
  <c r="AN131" i="3" s="1"/>
  <c r="AR131" i="3"/>
  <c r="S131" i="3"/>
  <c r="AQ131" i="3"/>
  <c r="AK131" i="3"/>
  <c r="AS131" i="3"/>
  <c r="K131" i="3"/>
  <c r="AL160" i="3"/>
  <c r="AM160" i="3" s="1"/>
  <c r="AN160" i="3" s="1"/>
  <c r="AS160" i="3"/>
  <c r="K160" i="3"/>
  <c r="AK160" i="3"/>
  <c r="AP160" i="3" s="1"/>
  <c r="AR160" i="3"/>
  <c r="S160" i="3"/>
  <c r="AQ160" i="3"/>
  <c r="AR116" i="3"/>
  <c r="K116" i="3"/>
  <c r="AK116" i="3"/>
  <c r="AP116" i="3" s="1"/>
  <c r="AQ116" i="3"/>
  <c r="AL116" i="3"/>
  <c r="AM116" i="3" s="1"/>
  <c r="AN116" i="3" s="1"/>
  <c r="AS116" i="3"/>
  <c r="S116" i="3"/>
  <c r="AR124" i="3"/>
  <c r="K124" i="3"/>
  <c r="AK124" i="3"/>
  <c r="AP124" i="3" s="1"/>
  <c r="AQ124" i="3"/>
  <c r="AL124" i="3"/>
  <c r="AM124" i="3" s="1"/>
  <c r="AN124" i="3" s="1"/>
  <c r="AS124" i="3"/>
  <c r="S124" i="3"/>
  <c r="AR132" i="3"/>
  <c r="K132" i="3"/>
  <c r="AK132" i="3"/>
  <c r="AP132" i="3" s="1"/>
  <c r="AQ132" i="3"/>
  <c r="AL132" i="3"/>
  <c r="AM132" i="3" s="1"/>
  <c r="AN132" i="3" s="1"/>
  <c r="AS132" i="3"/>
  <c r="S132" i="3"/>
  <c r="AQ140" i="3"/>
  <c r="S140" i="3"/>
  <c r="AR140" i="3"/>
  <c r="K140" i="3"/>
  <c r="AS140" i="3"/>
  <c r="AK140" i="3"/>
  <c r="AP140" i="3" s="1"/>
  <c r="AL140" i="3"/>
  <c r="AM140" i="3" s="1"/>
  <c r="AN140" i="3" s="1"/>
  <c r="AQ148" i="3"/>
  <c r="S148" i="3"/>
  <c r="AR148" i="3"/>
  <c r="K148" i="3"/>
  <c r="AS148" i="3"/>
  <c r="AK148" i="3"/>
  <c r="AP148" i="3" s="1"/>
  <c r="AL148" i="3"/>
  <c r="AM148" i="3" s="1"/>
  <c r="AN148" i="3" s="1"/>
  <c r="AL164" i="3"/>
  <c r="AM164" i="3" s="1"/>
  <c r="AN164" i="3" s="1"/>
  <c r="AS164" i="3"/>
  <c r="AK164" i="3"/>
  <c r="AR164" i="3"/>
  <c r="S164" i="3"/>
  <c r="K164" i="3"/>
  <c r="AQ164" i="3"/>
  <c r="AQ181" i="3"/>
  <c r="S181" i="3"/>
  <c r="AK181" i="3"/>
  <c r="K181" i="3"/>
  <c r="AR181" i="3"/>
  <c r="AS181" i="3"/>
  <c r="AL181" i="3"/>
  <c r="AM181" i="3" s="1"/>
  <c r="AN181" i="3" s="1"/>
  <c r="AL188" i="3"/>
  <c r="AM188" i="3" s="1"/>
  <c r="AN188" i="3" s="1"/>
  <c r="K188" i="3"/>
  <c r="AS188" i="3"/>
  <c r="AQ188" i="3"/>
  <c r="AK188" i="3"/>
  <c r="AR188" i="3"/>
  <c r="S188" i="3"/>
  <c r="AR159" i="3"/>
  <c r="K159" i="3"/>
  <c r="AQ159" i="3"/>
  <c r="AL159" i="3"/>
  <c r="AM159" i="3" s="1"/>
  <c r="AN159" i="3" s="1"/>
  <c r="AS159" i="3"/>
  <c r="S159" i="3"/>
  <c r="AK159" i="3"/>
  <c r="AP159" i="3" s="1"/>
  <c r="AR167" i="3"/>
  <c r="K167" i="3"/>
  <c r="AQ167" i="3"/>
  <c r="S167" i="3"/>
  <c r="AS167" i="3"/>
  <c r="AK167" i="3"/>
  <c r="AL167" i="3"/>
  <c r="AM167" i="3" s="1"/>
  <c r="AN167" i="3" s="1"/>
  <c r="AS174" i="3"/>
  <c r="AK174" i="3"/>
  <c r="AR174" i="3"/>
  <c r="S174" i="3"/>
  <c r="AL174" i="3"/>
  <c r="AM174" i="3" s="1"/>
  <c r="AN174" i="3" s="1"/>
  <c r="K174" i="3"/>
  <c r="AQ174" i="3"/>
  <c r="AS182" i="3"/>
  <c r="AK182" i="3"/>
  <c r="AR182" i="3"/>
  <c r="S182" i="3"/>
  <c r="AQ182" i="3"/>
  <c r="AL182" i="3"/>
  <c r="AM182" i="3" s="1"/>
  <c r="AN182" i="3" s="1"/>
  <c r="K182" i="3"/>
  <c r="AR186" i="3"/>
  <c r="K186" i="3"/>
  <c r="AQ186" i="3"/>
  <c r="S186" i="3"/>
  <c r="AS186" i="3"/>
  <c r="AK186" i="3"/>
  <c r="AP186" i="3" s="1"/>
  <c r="AL186" i="3"/>
  <c r="AM186" i="3" s="1"/>
  <c r="AN186" i="3" s="1"/>
  <c r="AQ207" i="3"/>
  <c r="S207" i="3"/>
  <c r="AK207" i="3"/>
  <c r="AP207" i="3" s="1"/>
  <c r="K207" i="3"/>
  <c r="AS207" i="3"/>
  <c r="AL207" i="3"/>
  <c r="AM207" i="3" s="1"/>
  <c r="AN207" i="3" s="1"/>
  <c r="AR207" i="3"/>
  <c r="AQ213" i="3"/>
  <c r="S213" i="3"/>
  <c r="AK213" i="3"/>
  <c r="AP213" i="3" s="1"/>
  <c r="K213" i="3"/>
  <c r="AS213" i="3"/>
  <c r="AR213" i="3"/>
  <c r="AL213" i="3"/>
  <c r="AM213" i="3" s="1"/>
  <c r="AN213" i="3" s="1"/>
  <c r="AR193" i="3"/>
  <c r="K193" i="3"/>
  <c r="AS193" i="3"/>
  <c r="S193" i="3"/>
  <c r="AQ193" i="3"/>
  <c r="AL193" i="3"/>
  <c r="AM193" i="3" s="1"/>
  <c r="AN193" i="3" s="1"/>
  <c r="AK193" i="3"/>
  <c r="AP193" i="3" s="1"/>
  <c r="AQ201" i="3"/>
  <c r="AR201" i="3"/>
  <c r="AL201" i="3"/>
  <c r="AM201" i="3" s="1"/>
  <c r="AN201" i="3" s="1"/>
  <c r="K201" i="3"/>
  <c r="AK201" i="3"/>
  <c r="AP201" i="3" s="1"/>
  <c r="S201" i="3"/>
  <c r="AS201" i="3"/>
  <c r="AL217" i="3"/>
  <c r="AM217" i="3" s="1"/>
  <c r="AN217" i="3" s="1"/>
  <c r="AS217" i="3"/>
  <c r="AK217" i="3"/>
  <c r="AP217" i="3" s="1"/>
  <c r="AQ217" i="3"/>
  <c r="S217" i="3"/>
  <c r="AR217" i="3"/>
  <c r="K217" i="3"/>
  <c r="AS210" i="3"/>
  <c r="AK210" i="3"/>
  <c r="AR210" i="3"/>
  <c r="S210" i="3"/>
  <c r="AQ210" i="3"/>
  <c r="AL210" i="3"/>
  <c r="AM210" i="3" s="1"/>
  <c r="AN210" i="3" s="1"/>
  <c r="K210" i="3"/>
  <c r="AL222" i="3"/>
  <c r="AM222" i="3" s="1"/>
  <c r="AN222" i="3" s="1"/>
  <c r="AS222" i="3"/>
  <c r="AR222" i="3"/>
  <c r="S222" i="3"/>
  <c r="K222" i="3"/>
  <c r="AK222" i="3"/>
  <c r="AP222" i="3" s="1"/>
  <c r="AQ222" i="3"/>
  <c r="AS218" i="3"/>
  <c r="K218" i="3"/>
  <c r="AR218" i="3"/>
  <c r="S218" i="3"/>
  <c r="AK218" i="3"/>
  <c r="AL218" i="3"/>
  <c r="AM218" i="3" s="1"/>
  <c r="AN218" i="3" s="1"/>
  <c r="AQ218" i="3"/>
  <c r="AL234" i="3"/>
  <c r="AM234" i="3" s="1"/>
  <c r="AN234" i="3" s="1"/>
  <c r="AS234" i="3"/>
  <c r="AK234" i="3"/>
  <c r="AQ234" i="3"/>
  <c r="S234" i="3"/>
  <c r="AR234" i="3"/>
  <c r="K234" i="3"/>
  <c r="AL243" i="3"/>
  <c r="AM243" i="3" s="1"/>
  <c r="AN243" i="3" s="1"/>
  <c r="AS243" i="3"/>
  <c r="AK243" i="3"/>
  <c r="AQ243" i="3"/>
  <c r="S243" i="3"/>
  <c r="AR243" i="3"/>
  <c r="K243" i="3"/>
  <c r="AR221" i="3"/>
  <c r="K221" i="3"/>
  <c r="AQ221" i="3"/>
  <c r="AL221" i="3"/>
  <c r="AM221" i="3" s="1"/>
  <c r="AN221" i="3" s="1"/>
  <c r="AK221" i="3"/>
  <c r="AS221" i="3"/>
  <c r="S221" i="3"/>
  <c r="AR229" i="3"/>
  <c r="K229" i="3"/>
  <c r="AQ229" i="3"/>
  <c r="S229" i="3"/>
  <c r="AS229" i="3"/>
  <c r="AK229" i="3"/>
  <c r="AL229" i="3"/>
  <c r="AM229" i="3" s="1"/>
  <c r="AN229" i="3" s="1"/>
  <c r="AS248" i="3"/>
  <c r="AK248" i="3"/>
  <c r="AQ248" i="3"/>
  <c r="AL248" i="3"/>
  <c r="AM248" i="3" s="1"/>
  <c r="AN248" i="3" s="1"/>
  <c r="K248" i="3"/>
  <c r="AR248" i="3"/>
  <c r="S248" i="3"/>
  <c r="AR240" i="3"/>
  <c r="K240" i="3"/>
  <c r="AS240" i="3"/>
  <c r="S240" i="3"/>
  <c r="AK240" i="3"/>
  <c r="AP240" i="3" s="1"/>
  <c r="AQ240" i="3"/>
  <c r="AL240" i="3"/>
  <c r="AM240" i="3" s="1"/>
  <c r="AN240" i="3" s="1"/>
  <c r="AR254" i="3"/>
  <c r="K254" i="3"/>
  <c r="AQ254" i="3"/>
  <c r="S254" i="3"/>
  <c r="AS254" i="3"/>
  <c r="AK254" i="3"/>
  <c r="AL254" i="3"/>
  <c r="AM254" i="3" s="1"/>
  <c r="AN254" i="3" s="1"/>
  <c r="AQ249" i="3"/>
  <c r="S249" i="3"/>
  <c r="AS249" i="3"/>
  <c r="AR249" i="3"/>
  <c r="AL249" i="3"/>
  <c r="AM249" i="3" s="1"/>
  <c r="AN249" i="3" s="1"/>
  <c r="AK249" i="3"/>
  <c r="AP249" i="3" s="1"/>
  <c r="K249" i="3"/>
  <c r="AR256" i="3"/>
  <c r="K256" i="3"/>
  <c r="AQ256" i="3"/>
  <c r="S256" i="3"/>
  <c r="AS256" i="3"/>
  <c r="AK256" i="3"/>
  <c r="AL256" i="3"/>
  <c r="AM256" i="3" s="1"/>
  <c r="AN256" i="3" s="1"/>
  <c r="AS262" i="3"/>
  <c r="AK262" i="3"/>
  <c r="AR262" i="3"/>
  <c r="K262" i="3"/>
  <c r="AL262" i="3"/>
  <c r="AM262" i="3" s="1"/>
  <c r="AN262" i="3" s="1"/>
  <c r="S262" i="3"/>
  <c r="AQ262" i="3"/>
  <c r="AJ98" i="3"/>
  <c r="AJ86" i="3"/>
  <c r="AJ72" i="3"/>
  <c r="AJ151" i="3"/>
  <c r="AJ94" i="3"/>
  <c r="E76" i="3"/>
  <c r="E68" i="3"/>
  <c r="AJ135" i="3"/>
  <c r="D82" i="3"/>
  <c r="E73" i="3"/>
  <c r="E65" i="3"/>
  <c r="E91" i="3"/>
  <c r="E99" i="3"/>
  <c r="E107" i="3"/>
  <c r="E117" i="3"/>
  <c r="D152" i="3"/>
  <c r="D140" i="3"/>
  <c r="D64" i="3"/>
  <c r="D72" i="3"/>
  <c r="D87" i="3"/>
  <c r="D95" i="3"/>
  <c r="D103" i="3"/>
  <c r="D111" i="3"/>
  <c r="D138" i="3"/>
  <c r="E174" i="3"/>
  <c r="E88" i="3"/>
  <c r="E96" i="3"/>
  <c r="E104" i="3"/>
  <c r="E112" i="3"/>
  <c r="E120" i="3"/>
  <c r="E128" i="3"/>
  <c r="D157" i="3"/>
  <c r="D174" i="3"/>
  <c r="F174" i="3" s="1"/>
  <c r="E176" i="3"/>
  <c r="D114" i="3"/>
  <c r="D122" i="3"/>
  <c r="D130" i="3"/>
  <c r="E137" i="3"/>
  <c r="E145" i="3"/>
  <c r="E153" i="3"/>
  <c r="D184" i="3"/>
  <c r="D121" i="3"/>
  <c r="D129" i="3"/>
  <c r="D137" i="3"/>
  <c r="D145" i="3"/>
  <c r="D153" i="3"/>
  <c r="E160" i="3"/>
  <c r="E178" i="3"/>
  <c r="E140" i="3"/>
  <c r="E148" i="3"/>
  <c r="E157" i="3"/>
  <c r="D165" i="3"/>
  <c r="E172" i="3"/>
  <c r="D193" i="3"/>
  <c r="E169" i="3"/>
  <c r="D177" i="3"/>
  <c r="D158" i="3"/>
  <c r="D166" i="3"/>
  <c r="E195" i="3"/>
  <c r="E177" i="3"/>
  <c r="E185" i="3"/>
  <c r="E189" i="3"/>
  <c r="D185" i="3"/>
  <c r="E192" i="3"/>
  <c r="E200" i="3"/>
  <c r="D195" i="3"/>
  <c r="D203" i="3"/>
  <c r="E197" i="3"/>
  <c r="E210" i="3"/>
  <c r="D194" i="3"/>
  <c r="D202" i="3"/>
  <c r="D208" i="3"/>
  <c r="D211" i="3"/>
  <c r="E203" i="3"/>
  <c r="E211" i="3"/>
  <c r="E220" i="3"/>
  <c r="E240" i="3"/>
  <c r="D221" i="3"/>
  <c r="D229" i="3"/>
  <c r="E236" i="3"/>
  <c r="E221" i="3"/>
  <c r="E238" i="3"/>
  <c r="E230" i="3"/>
  <c r="D238" i="3"/>
  <c r="E233" i="3"/>
  <c r="E241" i="3"/>
  <c r="D226" i="3"/>
  <c r="D234" i="3"/>
  <c r="E242" i="3"/>
  <c r="D237" i="3"/>
  <c r="D245" i="3"/>
  <c r="D253" i="3"/>
  <c r="D259" i="3"/>
  <c r="D256" i="3"/>
  <c r="E255" i="3"/>
  <c r="E259" i="3"/>
  <c r="E260" i="3"/>
  <c r="D260" i="3"/>
  <c r="D263" i="3"/>
  <c r="E64" i="3"/>
  <c r="AJ137" i="3"/>
  <c r="AJ129" i="3"/>
  <c r="AJ65" i="3"/>
  <c r="AJ73" i="3"/>
  <c r="AJ81" i="3"/>
  <c r="AJ89" i="3"/>
  <c r="AJ97" i="3"/>
  <c r="AJ105" i="3"/>
  <c r="AJ112" i="3"/>
  <c r="AJ147" i="3"/>
  <c r="AJ176" i="3"/>
  <c r="AJ118" i="3"/>
  <c r="AJ126" i="3"/>
  <c r="AJ134" i="3"/>
  <c r="AJ142" i="3"/>
  <c r="AJ150" i="3"/>
  <c r="AJ158" i="3"/>
  <c r="AJ180" i="3"/>
  <c r="AJ174" i="3"/>
  <c r="AJ173" i="3"/>
  <c r="AJ181" i="3"/>
  <c r="AJ157" i="3"/>
  <c r="AJ165" i="3"/>
  <c r="AJ188" i="3"/>
  <c r="AJ196" i="3"/>
  <c r="AJ203" i="3"/>
  <c r="AJ208" i="3"/>
  <c r="AJ191" i="3"/>
  <c r="AJ199" i="3"/>
  <c r="AJ210" i="3"/>
  <c r="AJ211" i="3"/>
  <c r="AJ224" i="3"/>
  <c r="AJ234" i="3"/>
  <c r="AJ235" i="3"/>
  <c r="AJ221" i="3"/>
  <c r="AJ229" i="3"/>
  <c r="AJ243" i="3"/>
  <c r="AJ236" i="3"/>
  <c r="AJ244" i="3"/>
  <c r="AJ251" i="3"/>
  <c r="AJ252" i="3"/>
  <c r="AJ259" i="3"/>
  <c r="AJ262" i="3"/>
  <c r="L31" i="1"/>
  <c r="B90" i="1"/>
  <c r="AP223" i="3" l="1"/>
  <c r="AP67" i="3"/>
  <c r="E41" i="2"/>
  <c r="G41" i="2"/>
  <c r="L69" i="2"/>
  <c r="J71" i="2"/>
  <c r="L72" i="2"/>
  <c r="K71" i="2"/>
  <c r="L70" i="2"/>
  <c r="N71" i="2"/>
  <c r="F13" i="2"/>
  <c r="I71" i="2"/>
  <c r="L68" i="2"/>
  <c r="M71" i="2"/>
  <c r="P71" i="2"/>
  <c r="F40" i="2"/>
  <c r="O69" i="2"/>
  <c r="O71" i="2"/>
  <c r="E13" i="2"/>
  <c r="D13" i="2"/>
  <c r="L71" i="2"/>
  <c r="G13" i="2"/>
  <c r="J70" i="2"/>
  <c r="N68" i="2"/>
  <c r="F243" i="3"/>
  <c r="H243" i="3" s="1"/>
  <c r="F81" i="3"/>
  <c r="G81" i="3" s="1"/>
  <c r="F254" i="3"/>
  <c r="H254" i="3" s="1"/>
  <c r="P69" i="2"/>
  <c r="F173" i="3"/>
  <c r="H173" i="3" s="1"/>
  <c r="F120" i="3"/>
  <c r="H120" i="3" s="1"/>
  <c r="M69" i="2"/>
  <c r="J69" i="2"/>
  <c r="K69" i="2"/>
  <c r="I69" i="2"/>
  <c r="N69" i="2"/>
  <c r="F92" i="3"/>
  <c r="H92" i="3" s="1"/>
  <c r="F87" i="3"/>
  <c r="H87" i="3" s="1"/>
  <c r="F240" i="3"/>
  <c r="G240" i="3" s="1"/>
  <c r="F210" i="3"/>
  <c r="G210" i="3" s="1"/>
  <c r="F184" i="3"/>
  <c r="H184" i="3" s="1"/>
  <c r="F130" i="3"/>
  <c r="H130" i="3" s="1"/>
  <c r="F95" i="3"/>
  <c r="H95" i="3" s="1"/>
  <c r="F70" i="3"/>
  <c r="H70" i="3" s="1"/>
  <c r="AO171" i="3"/>
  <c r="AP133" i="3"/>
  <c r="AP190" i="3"/>
  <c r="AO213" i="3"/>
  <c r="AP250" i="3"/>
  <c r="F169" i="3"/>
  <c r="F250" i="3"/>
  <c r="G250" i="3" s="1"/>
  <c r="F77" i="3"/>
  <c r="G77" i="3" s="1"/>
  <c r="F181" i="3"/>
  <c r="G181" i="3" s="1"/>
  <c r="F218" i="3"/>
  <c r="G218" i="3" s="1"/>
  <c r="F80" i="3"/>
  <c r="G80" i="3" s="1"/>
  <c r="AP135" i="3"/>
  <c r="F150" i="3"/>
  <c r="H150" i="3" s="1"/>
  <c r="F264" i="3"/>
  <c r="H264" i="3" s="1"/>
  <c r="F226" i="3"/>
  <c r="H226" i="3" s="1"/>
  <c r="F114" i="3"/>
  <c r="H114" i="3" s="1"/>
  <c r="AP245" i="3"/>
  <c r="F142" i="3"/>
  <c r="H142" i="3" s="1"/>
  <c r="AP65" i="3"/>
  <c r="F67" i="3"/>
  <c r="H67" i="3" s="1"/>
  <c r="AP232" i="3"/>
  <c r="F188" i="3"/>
  <c r="H188" i="3" s="1"/>
  <c r="F224" i="3"/>
  <c r="H224" i="3" s="1"/>
  <c r="F146" i="3"/>
  <c r="H146" i="3" s="1"/>
  <c r="F168" i="3"/>
  <c r="H168" i="3" s="1"/>
  <c r="F247" i="3"/>
  <c r="H247" i="3" s="1"/>
  <c r="F73" i="3"/>
  <c r="G73" i="3" s="1"/>
  <c r="AP71" i="3"/>
  <c r="AT194" i="3"/>
  <c r="AU194" i="3" s="1"/>
  <c r="AP242" i="3"/>
  <c r="AP228" i="3"/>
  <c r="F193" i="3"/>
  <c r="H193" i="3" s="1"/>
  <c r="F133" i="3"/>
  <c r="G133" i="3" s="1"/>
  <c r="G22" i="2"/>
  <c r="H22" i="2"/>
  <c r="F126" i="3"/>
  <c r="H126" i="3" s="1"/>
  <c r="F252" i="3"/>
  <c r="G252" i="3" s="1"/>
  <c r="F124" i="3"/>
  <c r="G124" i="3" s="1"/>
  <c r="F245" i="3"/>
  <c r="G245" i="3" s="1"/>
  <c r="F235" i="3"/>
  <c r="H235" i="3" s="1"/>
  <c r="F209" i="3"/>
  <c r="H209" i="3" s="1"/>
  <c r="F75" i="3"/>
  <c r="H75" i="3" s="1"/>
  <c r="F179" i="3"/>
  <c r="H179" i="3" s="1"/>
  <c r="F167" i="3"/>
  <c r="H167" i="3" s="1"/>
  <c r="F131" i="3"/>
  <c r="H131" i="3" s="1"/>
  <c r="F262" i="3"/>
  <c r="H262" i="3" s="1"/>
  <c r="F248" i="3"/>
  <c r="H248" i="3" s="1"/>
  <c r="F106" i="3"/>
  <c r="H106" i="3" s="1"/>
  <c r="F256" i="3"/>
  <c r="H256" i="3" s="1"/>
  <c r="F194" i="3"/>
  <c r="H194" i="3" s="1"/>
  <c r="F244" i="3"/>
  <c r="H244" i="3" s="1"/>
  <c r="F190" i="3"/>
  <c r="G190" i="3" s="1"/>
  <c r="F143" i="3"/>
  <c r="G143" i="3" s="1"/>
  <c r="F162" i="3"/>
  <c r="H162" i="3" s="1"/>
  <c r="F182" i="3"/>
  <c r="H182" i="3" s="1"/>
  <c r="F127" i="3"/>
  <c r="G127" i="3" s="1"/>
  <c r="AO170" i="3"/>
  <c r="AP199" i="3"/>
  <c r="AP81" i="3"/>
  <c r="AP137" i="3"/>
  <c r="AO247" i="3"/>
  <c r="AO235" i="3"/>
  <c r="F229" i="3"/>
  <c r="H229" i="3" s="1"/>
  <c r="F69" i="3"/>
  <c r="H69" i="3" s="1"/>
  <c r="F94" i="3"/>
  <c r="G94" i="3" s="1"/>
  <c r="F147" i="3"/>
  <c r="G147" i="3" s="1"/>
  <c r="F198" i="3"/>
  <c r="G198" i="3" s="1"/>
  <c r="F115" i="3"/>
  <c r="G115" i="3" s="1"/>
  <c r="F132" i="3"/>
  <c r="H132" i="3" s="1"/>
  <c r="F164" i="3"/>
  <c r="H164" i="3" s="1"/>
  <c r="F191" i="3"/>
  <c r="G191" i="3" s="1"/>
  <c r="F149" i="3"/>
  <c r="H149" i="3" s="1"/>
  <c r="F251" i="3"/>
  <c r="H251" i="3" s="1"/>
  <c r="F85" i="3"/>
  <c r="G85" i="3" s="1"/>
  <c r="F118" i="3"/>
  <c r="G118" i="3" s="1"/>
  <c r="F79" i="3"/>
  <c r="H79" i="3" s="1"/>
  <c r="F83" i="3"/>
  <c r="H83" i="3" s="1"/>
  <c r="F196" i="3"/>
  <c r="H196" i="3" s="1"/>
  <c r="AW80" i="3"/>
  <c r="AY80" i="3" s="1"/>
  <c r="AP119" i="3"/>
  <c r="AO262" i="3"/>
  <c r="AP188" i="3"/>
  <c r="F125" i="3"/>
  <c r="H125" i="3" s="1"/>
  <c r="F101" i="3"/>
  <c r="G101" i="3" s="1"/>
  <c r="AT73" i="3"/>
  <c r="AU73" i="3" s="1"/>
  <c r="AT220" i="3"/>
  <c r="AU220" i="3" s="1"/>
  <c r="AT211" i="3"/>
  <c r="AU211" i="3" s="1"/>
  <c r="AT205" i="3"/>
  <c r="AU205" i="3" s="1"/>
  <c r="AW205" i="3" s="1"/>
  <c r="AP176" i="3"/>
  <c r="AP136" i="3"/>
  <c r="AO67" i="3"/>
  <c r="AP214" i="3"/>
  <c r="AO181" i="3"/>
  <c r="AP97" i="3"/>
  <c r="AO75" i="3"/>
  <c r="AP86" i="3"/>
  <c r="F134" i="3"/>
  <c r="H134" i="3" s="1"/>
  <c r="F113" i="3"/>
  <c r="G113" i="3" s="1"/>
  <c r="F215" i="3"/>
  <c r="G215" i="3" s="1"/>
  <c r="F66" i="3"/>
  <c r="H66" i="3" s="1"/>
  <c r="F141" i="3"/>
  <c r="H141" i="3" s="1"/>
  <c r="F103" i="3"/>
  <c r="G103" i="3" s="1"/>
  <c r="F98" i="3"/>
  <c r="G98" i="3" s="1"/>
  <c r="F263" i="3"/>
  <c r="G263" i="3" s="1"/>
  <c r="F78" i="3"/>
  <c r="G78" i="3" s="1"/>
  <c r="F220" i="3"/>
  <c r="G220" i="3" s="1"/>
  <c r="F165" i="3"/>
  <c r="H165" i="3" s="1"/>
  <c r="F187" i="3"/>
  <c r="G187" i="3" s="1"/>
  <c r="F84" i="3"/>
  <c r="G84" i="3" s="1"/>
  <c r="F237" i="3"/>
  <c r="G237" i="3" s="1"/>
  <c r="F241" i="3"/>
  <c r="H241" i="3" s="1"/>
  <c r="F166" i="3"/>
  <c r="H166" i="3" s="1"/>
  <c r="F121" i="3"/>
  <c r="G121" i="3" s="1"/>
  <c r="F117" i="3"/>
  <c r="H117" i="3" s="1"/>
  <c r="F93" i="3"/>
  <c r="H93" i="3" s="1"/>
  <c r="F71" i="3"/>
  <c r="H71" i="3" s="1"/>
  <c r="F199" i="3"/>
  <c r="H199" i="3" s="1"/>
  <c r="F180" i="3"/>
  <c r="G180" i="3" s="1"/>
  <c r="F234" i="3"/>
  <c r="G234" i="3" s="1"/>
  <c r="F122" i="3"/>
  <c r="H122" i="3" s="1"/>
  <c r="F104" i="3"/>
  <c r="G104" i="3" s="1"/>
  <c r="F232" i="3"/>
  <c r="G232" i="3" s="1"/>
  <c r="F37" i="2"/>
  <c r="K68" i="2"/>
  <c r="AT232" i="3"/>
  <c r="AU232" i="3" s="1"/>
  <c r="AW232" i="3" s="1"/>
  <c r="AT117" i="3"/>
  <c r="AU117" i="3" s="1"/>
  <c r="AT189" i="3"/>
  <c r="AU189" i="3" s="1"/>
  <c r="F48" i="2"/>
  <c r="D17" i="2" s="1"/>
  <c r="G17" i="2"/>
  <c r="G25" i="2"/>
  <c r="G21" i="2"/>
  <c r="G50" i="2"/>
  <c r="E19" i="2" s="1"/>
  <c r="G57" i="2"/>
  <c r="E26" i="2" s="1"/>
  <c r="G36" i="2"/>
  <c r="G19" i="2"/>
  <c r="G52" i="2"/>
  <c r="E21" i="2" s="1"/>
  <c r="G53" i="2"/>
  <c r="E22" i="2" s="1"/>
  <c r="G59" i="2"/>
  <c r="E28" i="2" s="1"/>
  <c r="F56" i="2"/>
  <c r="D25" i="2" s="1"/>
  <c r="F57" i="2"/>
  <c r="D26" i="2" s="1"/>
  <c r="G28" i="2"/>
  <c r="G29" i="2"/>
  <c r="G15" i="2"/>
  <c r="F60" i="2"/>
  <c r="D29" i="2" s="1"/>
  <c r="F59" i="2"/>
  <c r="D28" i="2" s="1"/>
  <c r="G51" i="2"/>
  <c r="E20" i="2" s="1"/>
  <c r="G60" i="2"/>
  <c r="E29" i="2" s="1"/>
  <c r="G46" i="2"/>
  <c r="E15" i="2" s="1"/>
  <c r="F46" i="2"/>
  <c r="D15" i="2" s="1"/>
  <c r="F67" i="2"/>
  <c r="D36" i="2" s="1"/>
  <c r="G39" i="2"/>
  <c r="G20" i="2"/>
  <c r="P68" i="2"/>
  <c r="M68" i="2"/>
  <c r="F61" i="2"/>
  <c r="D30" i="2" s="1"/>
  <c r="F58" i="2"/>
  <c r="D27" i="2" s="1"/>
  <c r="M263" i="3"/>
  <c r="T263" i="3" s="1"/>
  <c r="U263" i="3" s="1"/>
  <c r="V263" i="3" s="1"/>
  <c r="AB263" i="3" s="1"/>
  <c r="AD263" i="3" s="1"/>
  <c r="K70" i="2"/>
  <c r="J68" i="2"/>
  <c r="G26" i="2"/>
  <c r="G30" i="2"/>
  <c r="G49" i="2"/>
  <c r="E18" i="2" s="1"/>
  <c r="F71" i="2"/>
  <c r="D40" i="2" s="1"/>
  <c r="F62" i="2"/>
  <c r="D31" i="2" s="1"/>
  <c r="P70" i="2"/>
  <c r="O68" i="2"/>
  <c r="G31" i="2"/>
  <c r="G16" i="2"/>
  <c r="G24" i="2"/>
  <c r="G61" i="2"/>
  <c r="E30" i="2" s="1"/>
  <c r="G56" i="2"/>
  <c r="E25" i="2" s="1"/>
  <c r="G55" i="2"/>
  <c r="E24" i="2" s="1"/>
  <c r="F53" i="2"/>
  <c r="D22" i="2" s="1"/>
  <c r="G47" i="2"/>
  <c r="E16" i="2" s="1"/>
  <c r="F68" i="2"/>
  <c r="D37" i="2" s="1"/>
  <c r="F64" i="2"/>
  <c r="D33" i="2" s="1"/>
  <c r="I70" i="2"/>
  <c r="M70" i="2"/>
  <c r="F39" i="2"/>
  <c r="G33" i="2"/>
  <c r="G23" i="2"/>
  <c r="G68" i="2"/>
  <c r="E37" i="2" s="1"/>
  <c r="G58" i="2"/>
  <c r="E27" i="2" s="1"/>
  <c r="G63" i="2"/>
  <c r="E32" i="2" s="1"/>
  <c r="O70" i="2"/>
  <c r="G34" i="2"/>
  <c r="G18" i="2"/>
  <c r="I68" i="2"/>
  <c r="F21" i="2"/>
  <c r="G40" i="2"/>
  <c r="G27" i="2"/>
  <c r="F65" i="2"/>
  <c r="D34" i="2" s="1"/>
  <c r="F49" i="2"/>
  <c r="D18" i="2" s="1"/>
  <c r="G66" i="2"/>
  <c r="E35" i="2" s="1"/>
  <c r="F50" i="2"/>
  <c r="D19" i="2" s="1"/>
  <c r="F69" i="2"/>
  <c r="D38" i="2" s="1"/>
  <c r="F54" i="2"/>
  <c r="D23" i="2" s="1"/>
  <c r="G45" i="2"/>
  <c r="E14" i="2" s="1"/>
  <c r="F55" i="2"/>
  <c r="D24" i="2" s="1"/>
  <c r="G62" i="2"/>
  <c r="E31" i="2" s="1"/>
  <c r="G67" i="2"/>
  <c r="E36" i="2" s="1"/>
  <c r="F51" i="2"/>
  <c r="D20" i="2" s="1"/>
  <c r="F63" i="2"/>
  <c r="D32" i="2" s="1"/>
  <c r="G70" i="2"/>
  <c r="E39" i="2" s="1"/>
  <c r="G48" i="2"/>
  <c r="E17" i="2" s="1"/>
  <c r="N70" i="2"/>
  <c r="G54" i="2"/>
  <c r="E23" i="2" s="1"/>
  <c r="F47" i="2"/>
  <c r="D16" i="2" s="1"/>
  <c r="G37" i="2"/>
  <c r="G32" i="2"/>
  <c r="G38" i="2"/>
  <c r="G14" i="2"/>
  <c r="G35" i="2"/>
  <c r="G65" i="2"/>
  <c r="E34" i="2" s="1"/>
  <c r="F66" i="2"/>
  <c r="D35" i="2" s="1"/>
  <c r="G69" i="2"/>
  <c r="E38" i="2" s="1"/>
  <c r="F45" i="2"/>
  <c r="D14" i="2" s="1"/>
  <c r="G71" i="2"/>
  <c r="E40" i="2" s="1"/>
  <c r="F52" i="2"/>
  <c r="D21" i="2" s="1"/>
  <c r="G64" i="2"/>
  <c r="E33" i="2" s="1"/>
  <c r="F70" i="2"/>
  <c r="D39" i="2" s="1"/>
  <c r="B76" i="1"/>
  <c r="B60" i="1"/>
  <c r="F123" i="3"/>
  <c r="H123" i="3" s="1"/>
  <c r="M99" i="3"/>
  <c r="N99" i="3" s="1"/>
  <c r="O99" i="3" s="1"/>
  <c r="P99" i="3" s="1"/>
  <c r="M110" i="3"/>
  <c r="T110" i="3" s="1"/>
  <c r="U110" i="3" s="1"/>
  <c r="V110" i="3" s="1"/>
  <c r="AB110" i="3" s="1"/>
  <c r="M204" i="3"/>
  <c r="T204" i="3" s="1"/>
  <c r="U204" i="3" s="1"/>
  <c r="V204" i="3" s="1"/>
  <c r="AB204" i="3" s="1"/>
  <c r="M132" i="3"/>
  <c r="T132" i="3" s="1"/>
  <c r="U132" i="3" s="1"/>
  <c r="V132" i="3" s="1"/>
  <c r="AB132" i="3" s="1"/>
  <c r="M171" i="3"/>
  <c r="N171" i="3" s="1"/>
  <c r="O171" i="3" s="1"/>
  <c r="P171" i="3" s="1"/>
  <c r="M238" i="3"/>
  <c r="T238" i="3" s="1"/>
  <c r="U238" i="3" s="1"/>
  <c r="V238" i="3" s="1"/>
  <c r="AB238" i="3" s="1"/>
  <c r="M120" i="3"/>
  <c r="T120" i="3" s="1"/>
  <c r="U120" i="3" s="1"/>
  <c r="V120" i="3" s="1"/>
  <c r="AB120" i="3" s="1"/>
  <c r="M141" i="3"/>
  <c r="T141" i="3" s="1"/>
  <c r="U141" i="3" s="1"/>
  <c r="V141" i="3" s="1"/>
  <c r="AB141" i="3" s="1"/>
  <c r="M214" i="3"/>
  <c r="N214" i="3" s="1"/>
  <c r="O214" i="3" s="1"/>
  <c r="P214" i="3" s="1"/>
  <c r="M126" i="3"/>
  <c r="T126" i="3" s="1"/>
  <c r="U126" i="3" s="1"/>
  <c r="V126" i="3" s="1"/>
  <c r="AB126" i="3" s="1"/>
  <c r="M184" i="3"/>
  <c r="T184" i="3" s="1"/>
  <c r="U184" i="3" s="1"/>
  <c r="V184" i="3" s="1"/>
  <c r="AB184" i="3" s="1"/>
  <c r="AD184" i="3" s="1"/>
  <c r="M245" i="3"/>
  <c r="T245" i="3" s="1"/>
  <c r="U245" i="3" s="1"/>
  <c r="V245" i="3" s="1"/>
  <c r="AB245" i="3" s="1"/>
  <c r="AD245" i="3" s="1"/>
  <c r="M117" i="3"/>
  <c r="N117" i="3" s="1"/>
  <c r="O117" i="3" s="1"/>
  <c r="P117" i="3" s="1"/>
  <c r="M73" i="3"/>
  <c r="T73" i="3" s="1"/>
  <c r="U73" i="3" s="1"/>
  <c r="V73" i="3" s="1"/>
  <c r="AB73" i="3" s="1"/>
  <c r="M89" i="3"/>
  <c r="N89" i="3" s="1"/>
  <c r="O89" i="3" s="1"/>
  <c r="P89" i="3" s="1"/>
  <c r="M98" i="3"/>
  <c r="T98" i="3" s="1"/>
  <c r="U98" i="3" s="1"/>
  <c r="V98" i="3" s="1"/>
  <c r="AB98" i="3" s="1"/>
  <c r="AC98" i="3" s="1"/>
  <c r="M74" i="3"/>
  <c r="N74" i="3" s="1"/>
  <c r="O74" i="3" s="1"/>
  <c r="P74" i="3" s="1"/>
  <c r="M144" i="3"/>
  <c r="N144" i="3" s="1"/>
  <c r="O144" i="3" s="1"/>
  <c r="P144" i="3" s="1"/>
  <c r="M125" i="3"/>
  <c r="N125" i="3" s="1"/>
  <c r="O125" i="3" s="1"/>
  <c r="P125" i="3" s="1"/>
  <c r="M157" i="3"/>
  <c r="N157" i="3" s="1"/>
  <c r="O157" i="3" s="1"/>
  <c r="P157" i="3" s="1"/>
  <c r="M182" i="3"/>
  <c r="N182" i="3" s="1"/>
  <c r="O182" i="3" s="1"/>
  <c r="P182" i="3" s="1"/>
  <c r="X182" i="3" s="1"/>
  <c r="Y182" i="3" s="1"/>
  <c r="M191" i="3"/>
  <c r="N191" i="3" s="1"/>
  <c r="O191" i="3" s="1"/>
  <c r="P191" i="3" s="1"/>
  <c r="M200" i="3"/>
  <c r="N200" i="3" s="1"/>
  <c r="O200" i="3" s="1"/>
  <c r="P200" i="3" s="1"/>
  <c r="M225" i="3"/>
  <c r="T225" i="3" s="1"/>
  <c r="U225" i="3" s="1"/>
  <c r="V225" i="3" s="1"/>
  <c r="AB225" i="3" s="1"/>
  <c r="AC225" i="3" s="1"/>
  <c r="M232" i="3"/>
  <c r="N232" i="3" s="1"/>
  <c r="O232" i="3" s="1"/>
  <c r="P232" i="3" s="1"/>
  <c r="M255" i="3"/>
  <c r="N255" i="3" s="1"/>
  <c r="O255" i="3" s="1"/>
  <c r="P255" i="3" s="1"/>
  <c r="M69" i="3"/>
  <c r="N69" i="3" s="1"/>
  <c r="O69" i="3" s="1"/>
  <c r="P69" i="3" s="1"/>
  <c r="M90" i="3"/>
  <c r="T90" i="3" s="1"/>
  <c r="U90" i="3" s="1"/>
  <c r="V90" i="3" s="1"/>
  <c r="AB90" i="3" s="1"/>
  <c r="AC90" i="3" s="1"/>
  <c r="M66" i="3"/>
  <c r="T66" i="3" s="1"/>
  <c r="M136" i="3"/>
  <c r="N136" i="3" s="1"/>
  <c r="O136" i="3" s="1"/>
  <c r="P136" i="3" s="1"/>
  <c r="M149" i="3"/>
  <c r="T149" i="3" s="1"/>
  <c r="U149" i="3" s="1"/>
  <c r="V149" i="3" s="1"/>
  <c r="AB149" i="3" s="1"/>
  <c r="AD149" i="3" s="1"/>
  <c r="M174" i="3"/>
  <c r="T174" i="3" s="1"/>
  <c r="U174" i="3" s="1"/>
  <c r="V174" i="3" s="1"/>
  <c r="AB174" i="3" s="1"/>
  <c r="M203" i="3"/>
  <c r="T203" i="3" s="1"/>
  <c r="U203" i="3" s="1"/>
  <c r="V203" i="3" s="1"/>
  <c r="AB203" i="3" s="1"/>
  <c r="M192" i="3"/>
  <c r="T192" i="3" s="1"/>
  <c r="U192" i="3" s="1"/>
  <c r="V192" i="3" s="1"/>
  <c r="AB192" i="3" s="1"/>
  <c r="M233" i="3"/>
  <c r="T233" i="3" s="1"/>
  <c r="U233" i="3" s="1"/>
  <c r="V233" i="3" s="1"/>
  <c r="AB233" i="3" s="1"/>
  <c r="M224" i="3"/>
  <c r="T224" i="3" s="1"/>
  <c r="U224" i="3" s="1"/>
  <c r="V224" i="3" s="1"/>
  <c r="AB224" i="3" s="1"/>
  <c r="AC224" i="3" s="1"/>
  <c r="M256" i="3"/>
  <c r="T256" i="3" s="1"/>
  <c r="U256" i="3" s="1"/>
  <c r="V256" i="3" s="1"/>
  <c r="AB256" i="3" s="1"/>
  <c r="M83" i="3"/>
  <c r="T83" i="3" s="1"/>
  <c r="U83" i="3" s="1"/>
  <c r="V83" i="3" s="1"/>
  <c r="AB83" i="3" s="1"/>
  <c r="M105" i="3"/>
  <c r="N105" i="3" s="1"/>
  <c r="O105" i="3" s="1"/>
  <c r="P105" i="3" s="1"/>
  <c r="M106" i="3"/>
  <c r="N106" i="3" s="1"/>
  <c r="O106" i="3" s="1"/>
  <c r="P106" i="3" s="1"/>
  <c r="M109" i="3"/>
  <c r="N109" i="3" s="1"/>
  <c r="O109" i="3" s="1"/>
  <c r="P109" i="3" s="1"/>
  <c r="M152" i="3"/>
  <c r="N152" i="3" s="1"/>
  <c r="O152" i="3" s="1"/>
  <c r="P152" i="3" s="1"/>
  <c r="M133" i="3"/>
  <c r="N133" i="3" s="1"/>
  <c r="O133" i="3" s="1"/>
  <c r="P133" i="3" s="1"/>
  <c r="M165" i="3"/>
  <c r="N165" i="3" s="1"/>
  <c r="O165" i="3" s="1"/>
  <c r="P165" i="3" s="1"/>
  <c r="M162" i="3"/>
  <c r="T162" i="3" s="1"/>
  <c r="U162" i="3" s="1"/>
  <c r="V162" i="3" s="1"/>
  <c r="AB162" i="3" s="1"/>
  <c r="M197" i="3"/>
  <c r="T197" i="3" s="1"/>
  <c r="U197" i="3" s="1"/>
  <c r="V197" i="3" s="1"/>
  <c r="AB197" i="3" s="1"/>
  <c r="M231" i="3"/>
  <c r="T231" i="3" s="1"/>
  <c r="U231" i="3" s="1"/>
  <c r="V231" i="3" s="1"/>
  <c r="AB231" i="3" s="1"/>
  <c r="AD231" i="3" s="1"/>
  <c r="M242" i="3"/>
  <c r="T242" i="3" s="1"/>
  <c r="U242" i="3" s="1"/>
  <c r="V242" i="3" s="1"/>
  <c r="AB242" i="3" s="1"/>
  <c r="M237" i="3"/>
  <c r="T237" i="3" s="1"/>
  <c r="U237" i="3" s="1"/>
  <c r="V237" i="3" s="1"/>
  <c r="AB237" i="3" s="1"/>
  <c r="M260" i="3"/>
  <c r="T260" i="3" s="1"/>
  <c r="U260" i="3" s="1"/>
  <c r="V260" i="3" s="1"/>
  <c r="AB260" i="3" s="1"/>
  <c r="M77" i="3"/>
  <c r="N77" i="3" s="1"/>
  <c r="O77" i="3" s="1"/>
  <c r="P77" i="3" s="1"/>
  <c r="M103" i="3"/>
  <c r="N103" i="3" s="1"/>
  <c r="O103" i="3" s="1"/>
  <c r="P103" i="3" s="1"/>
  <c r="M93" i="3"/>
  <c r="T93" i="3" s="1"/>
  <c r="U93" i="3" s="1"/>
  <c r="V93" i="3" s="1"/>
  <c r="AB93" i="3" s="1"/>
  <c r="AD93" i="3" s="1"/>
  <c r="M84" i="3"/>
  <c r="T84" i="3" s="1"/>
  <c r="U84" i="3" s="1"/>
  <c r="V84" i="3" s="1"/>
  <c r="AB84" i="3" s="1"/>
  <c r="M100" i="3"/>
  <c r="N100" i="3" s="1"/>
  <c r="O100" i="3" s="1"/>
  <c r="P100" i="3" s="1"/>
  <c r="X100" i="3" s="1"/>
  <c r="M122" i="3"/>
  <c r="N122" i="3" s="1"/>
  <c r="O122" i="3" s="1"/>
  <c r="P122" i="3" s="1"/>
  <c r="M76" i="3"/>
  <c r="T76" i="3" s="1"/>
  <c r="U76" i="3" s="1"/>
  <c r="V76" i="3" s="1"/>
  <c r="AB76" i="3" s="1"/>
  <c r="M134" i="3"/>
  <c r="T134" i="3" s="1"/>
  <c r="U134" i="3" s="1"/>
  <c r="V134" i="3" s="1"/>
  <c r="AB134" i="3" s="1"/>
  <c r="AC134" i="3" s="1"/>
  <c r="M146" i="3"/>
  <c r="N146" i="3" s="1"/>
  <c r="O146" i="3" s="1"/>
  <c r="P146" i="3" s="1"/>
  <c r="M112" i="3"/>
  <c r="N112" i="3" s="1"/>
  <c r="O112" i="3" s="1"/>
  <c r="P112" i="3" s="1"/>
  <c r="M127" i="3"/>
  <c r="T127" i="3" s="1"/>
  <c r="U127" i="3" s="1"/>
  <c r="V127" i="3" s="1"/>
  <c r="AB127" i="3" s="1"/>
  <c r="AC127" i="3" s="1"/>
  <c r="M143" i="3"/>
  <c r="T143" i="3" s="1"/>
  <c r="U143" i="3" s="1"/>
  <c r="V143" i="3" s="1"/>
  <c r="AB143" i="3" s="1"/>
  <c r="M159" i="3"/>
  <c r="T159" i="3" s="1"/>
  <c r="U159" i="3" s="1"/>
  <c r="V159" i="3" s="1"/>
  <c r="AB159" i="3" s="1"/>
  <c r="M179" i="3"/>
  <c r="T179" i="3" s="1"/>
  <c r="U179" i="3" s="1"/>
  <c r="V179" i="3" s="1"/>
  <c r="AB179" i="3" s="1"/>
  <c r="AD179" i="3" s="1"/>
  <c r="M156" i="3"/>
  <c r="N156" i="3" s="1"/>
  <c r="O156" i="3" s="1"/>
  <c r="P156" i="3" s="1"/>
  <c r="M186" i="3"/>
  <c r="N186" i="3" s="1"/>
  <c r="O186" i="3" s="1"/>
  <c r="P186" i="3" s="1"/>
  <c r="M193" i="3"/>
  <c r="T193" i="3" s="1"/>
  <c r="U193" i="3" s="1"/>
  <c r="V193" i="3" s="1"/>
  <c r="AB193" i="3" s="1"/>
  <c r="M209" i="3"/>
  <c r="N209" i="3" s="1"/>
  <c r="O209" i="3" s="1"/>
  <c r="P209" i="3" s="1"/>
  <c r="M206" i="3"/>
  <c r="N206" i="3" s="1"/>
  <c r="O206" i="3" s="1"/>
  <c r="P206" i="3" s="1"/>
  <c r="M216" i="3"/>
  <c r="T216" i="3" s="1"/>
  <c r="U216" i="3" s="1"/>
  <c r="V216" i="3" s="1"/>
  <c r="M219" i="3"/>
  <c r="N219" i="3" s="1"/>
  <c r="O219" i="3" s="1"/>
  <c r="P219" i="3" s="1"/>
  <c r="M244" i="3"/>
  <c r="T244" i="3" s="1"/>
  <c r="U244" i="3" s="1"/>
  <c r="V244" i="3" s="1"/>
  <c r="AB244" i="3" s="1"/>
  <c r="M240" i="3"/>
  <c r="N240" i="3" s="1"/>
  <c r="O240" i="3" s="1"/>
  <c r="P240" i="3" s="1"/>
  <c r="X240" i="3" s="1"/>
  <c r="M226" i="3"/>
  <c r="N226" i="3" s="1"/>
  <c r="O226" i="3" s="1"/>
  <c r="P226" i="3" s="1"/>
  <c r="M239" i="3"/>
  <c r="N239" i="3" s="1"/>
  <c r="O239" i="3" s="1"/>
  <c r="P239" i="3" s="1"/>
  <c r="M250" i="3"/>
  <c r="N250" i="3" s="1"/>
  <c r="O250" i="3" s="1"/>
  <c r="P250" i="3" s="1"/>
  <c r="M249" i="3"/>
  <c r="T249" i="3" s="1"/>
  <c r="U249" i="3" s="1"/>
  <c r="V249" i="3" s="1"/>
  <c r="AB249" i="3" s="1"/>
  <c r="AC249" i="3" s="1"/>
  <c r="M257" i="3"/>
  <c r="N257" i="3" s="1"/>
  <c r="O257" i="3" s="1"/>
  <c r="P257" i="3" s="1"/>
  <c r="M262" i="3"/>
  <c r="N262" i="3" s="1"/>
  <c r="O262" i="3" s="1"/>
  <c r="P262" i="3" s="1"/>
  <c r="M79" i="3"/>
  <c r="T79" i="3" s="1"/>
  <c r="U79" i="3" s="1"/>
  <c r="V79" i="3" s="1"/>
  <c r="AB79" i="3" s="1"/>
  <c r="AD79" i="3" s="1"/>
  <c r="M91" i="3"/>
  <c r="T91" i="3" s="1"/>
  <c r="U91" i="3" s="1"/>
  <c r="V91" i="3" s="1"/>
  <c r="AB91" i="3" s="1"/>
  <c r="M107" i="3"/>
  <c r="T107" i="3" s="1"/>
  <c r="U107" i="3" s="1"/>
  <c r="V107" i="3" s="1"/>
  <c r="AB107" i="3" s="1"/>
  <c r="M75" i="3"/>
  <c r="N75" i="3" s="1"/>
  <c r="O75" i="3" s="1"/>
  <c r="P75" i="3" s="1"/>
  <c r="M97" i="3"/>
  <c r="T97" i="3" s="1"/>
  <c r="U97" i="3" s="1"/>
  <c r="V97" i="3" s="1"/>
  <c r="AB97" i="3" s="1"/>
  <c r="M130" i="3"/>
  <c r="N130" i="3" s="1"/>
  <c r="O130" i="3" s="1"/>
  <c r="P130" i="3" s="1"/>
  <c r="X130" i="3" s="1"/>
  <c r="M86" i="3"/>
  <c r="N86" i="3" s="1"/>
  <c r="O86" i="3" s="1"/>
  <c r="P86" i="3" s="1"/>
  <c r="M94" i="3"/>
  <c r="T94" i="3" s="1"/>
  <c r="U94" i="3" s="1"/>
  <c r="V94" i="3" s="1"/>
  <c r="AB94" i="3" s="1"/>
  <c r="M102" i="3"/>
  <c r="N102" i="3" s="1"/>
  <c r="O102" i="3" s="1"/>
  <c r="P102" i="3" s="1"/>
  <c r="M118" i="3"/>
  <c r="T118" i="3" s="1"/>
  <c r="U118" i="3" s="1"/>
  <c r="V118" i="3" s="1"/>
  <c r="AB118" i="3" s="1"/>
  <c r="M128" i="3"/>
  <c r="T128" i="3" s="1"/>
  <c r="U128" i="3" s="1"/>
  <c r="V128" i="3" s="1"/>
  <c r="AB128" i="3" s="1"/>
  <c r="M70" i="3"/>
  <c r="N70" i="3" s="1"/>
  <c r="O70" i="3" s="1"/>
  <c r="P70" i="3" s="1"/>
  <c r="M78" i="3"/>
  <c r="N78" i="3" s="1"/>
  <c r="O78" i="3" s="1"/>
  <c r="P78" i="3" s="1"/>
  <c r="M113" i="3"/>
  <c r="T113" i="3" s="1"/>
  <c r="U113" i="3" s="1"/>
  <c r="V113" i="3" s="1"/>
  <c r="AB113" i="3" s="1"/>
  <c r="M173" i="3"/>
  <c r="T173" i="3" s="1"/>
  <c r="U173" i="3" s="1"/>
  <c r="V173" i="3" s="1"/>
  <c r="AB173" i="3" s="1"/>
  <c r="AD173" i="3" s="1"/>
  <c r="M140" i="3"/>
  <c r="T140" i="3" s="1"/>
  <c r="U140" i="3" s="1"/>
  <c r="V140" i="3" s="1"/>
  <c r="AB140" i="3" s="1"/>
  <c r="M148" i="3"/>
  <c r="N148" i="3" s="1"/>
  <c r="O148" i="3" s="1"/>
  <c r="P148" i="3" s="1"/>
  <c r="M175" i="3"/>
  <c r="N175" i="3" s="1"/>
  <c r="O175" i="3" s="1"/>
  <c r="P175" i="3" s="1"/>
  <c r="M114" i="3"/>
  <c r="N114" i="3" s="1"/>
  <c r="O114" i="3" s="1"/>
  <c r="P114" i="3" s="1"/>
  <c r="M121" i="3"/>
  <c r="T121" i="3" s="1"/>
  <c r="U121" i="3" s="1"/>
  <c r="V121" i="3" s="1"/>
  <c r="AB121" i="3" s="1"/>
  <c r="M129" i="3"/>
  <c r="N129" i="3" s="1"/>
  <c r="O129" i="3" s="1"/>
  <c r="P129" i="3" s="1"/>
  <c r="M137" i="3"/>
  <c r="T137" i="3" s="1"/>
  <c r="U137" i="3" s="1"/>
  <c r="V137" i="3" s="1"/>
  <c r="AB137" i="3" s="1"/>
  <c r="M145" i="3"/>
  <c r="N145" i="3" s="1"/>
  <c r="O145" i="3" s="1"/>
  <c r="P145" i="3" s="1"/>
  <c r="M153" i="3"/>
  <c r="T153" i="3" s="1"/>
  <c r="U153" i="3" s="1"/>
  <c r="V153" i="3" s="1"/>
  <c r="AB153" i="3" s="1"/>
  <c r="AD153" i="3" s="1"/>
  <c r="M161" i="3"/>
  <c r="T161" i="3" s="1"/>
  <c r="U161" i="3" s="1"/>
  <c r="V161" i="3" s="1"/>
  <c r="AB161" i="3" s="1"/>
  <c r="M169" i="3"/>
  <c r="N169" i="3" s="1"/>
  <c r="O169" i="3" s="1"/>
  <c r="P169" i="3" s="1"/>
  <c r="X169" i="3" s="1"/>
  <c r="M170" i="3"/>
  <c r="T170" i="3" s="1"/>
  <c r="U170" i="3" s="1"/>
  <c r="V170" i="3" s="1"/>
  <c r="AB170" i="3" s="1"/>
  <c r="M178" i="3"/>
  <c r="T178" i="3" s="1"/>
  <c r="U178" i="3" s="1"/>
  <c r="V178" i="3" s="1"/>
  <c r="AB178" i="3" s="1"/>
  <c r="M158" i="3"/>
  <c r="N158" i="3" s="1"/>
  <c r="O158" i="3" s="1"/>
  <c r="P158" i="3" s="1"/>
  <c r="M166" i="3"/>
  <c r="T166" i="3" s="1"/>
  <c r="U166" i="3" s="1"/>
  <c r="V166" i="3" s="1"/>
  <c r="AB166" i="3" s="1"/>
  <c r="M205" i="3"/>
  <c r="T205" i="3" s="1"/>
  <c r="U205" i="3" s="1"/>
  <c r="V205" i="3" s="1"/>
  <c r="AB205" i="3" s="1"/>
  <c r="M187" i="3"/>
  <c r="N187" i="3" s="1"/>
  <c r="O187" i="3" s="1"/>
  <c r="P187" i="3" s="1"/>
  <c r="M207" i="3"/>
  <c r="T207" i="3" s="1"/>
  <c r="U207" i="3" s="1"/>
  <c r="V207" i="3" s="1"/>
  <c r="AB207" i="3" s="1"/>
  <c r="M201" i="3"/>
  <c r="N201" i="3" s="1"/>
  <c r="O201" i="3" s="1"/>
  <c r="P201" i="3" s="1"/>
  <c r="M188" i="3"/>
  <c r="N188" i="3" s="1"/>
  <c r="O188" i="3" s="1"/>
  <c r="P188" i="3" s="1"/>
  <c r="M196" i="3"/>
  <c r="N196" i="3" s="1"/>
  <c r="O196" i="3" s="1"/>
  <c r="P196" i="3" s="1"/>
  <c r="M211" i="3"/>
  <c r="T211" i="3" s="1"/>
  <c r="U211" i="3" s="1"/>
  <c r="V211" i="3" s="1"/>
  <c r="AB211" i="3" s="1"/>
  <c r="M210" i="3"/>
  <c r="T210" i="3" s="1"/>
  <c r="U210" i="3" s="1"/>
  <c r="V210" i="3" s="1"/>
  <c r="AB210" i="3" s="1"/>
  <c r="M218" i="3"/>
  <c r="T218" i="3" s="1"/>
  <c r="U218" i="3" s="1"/>
  <c r="V218" i="3" s="1"/>
  <c r="M221" i="3"/>
  <c r="T221" i="3" s="1"/>
  <c r="U221" i="3" s="1"/>
  <c r="V221" i="3" s="1"/>
  <c r="AB221" i="3" s="1"/>
  <c r="AC221" i="3" s="1"/>
  <c r="M215" i="3"/>
  <c r="N215" i="3" s="1"/>
  <c r="O215" i="3" s="1"/>
  <c r="P215" i="3" s="1"/>
  <c r="M246" i="3"/>
  <c r="N246" i="3" s="1"/>
  <c r="O246" i="3" s="1"/>
  <c r="P246" i="3" s="1"/>
  <c r="M220" i="3"/>
  <c r="T220" i="3" s="1"/>
  <c r="U220" i="3" s="1"/>
  <c r="V220" i="3" s="1"/>
  <c r="AB220" i="3" s="1"/>
  <c r="M228" i="3"/>
  <c r="N228" i="3" s="1"/>
  <c r="O228" i="3" s="1"/>
  <c r="P228" i="3" s="1"/>
  <c r="M247" i="3"/>
  <c r="N247" i="3" s="1"/>
  <c r="O247" i="3" s="1"/>
  <c r="P247" i="3" s="1"/>
  <c r="M241" i="3"/>
  <c r="N241" i="3" s="1"/>
  <c r="O241" i="3" s="1"/>
  <c r="P241" i="3" s="1"/>
  <c r="M252" i="3"/>
  <c r="T252" i="3" s="1"/>
  <c r="U252" i="3" s="1"/>
  <c r="V252" i="3" s="1"/>
  <c r="AB252" i="3" s="1"/>
  <c r="M251" i="3"/>
  <c r="T251" i="3" s="1"/>
  <c r="U251" i="3" s="1"/>
  <c r="V251" i="3" s="1"/>
  <c r="AB251" i="3" s="1"/>
  <c r="M259" i="3"/>
  <c r="N259" i="3" s="1"/>
  <c r="O259" i="3" s="1"/>
  <c r="P259" i="3" s="1"/>
  <c r="M264" i="3"/>
  <c r="N264" i="3" s="1"/>
  <c r="O264" i="3" s="1"/>
  <c r="P264" i="3" s="1"/>
  <c r="M87" i="3"/>
  <c r="N87" i="3" s="1"/>
  <c r="O87" i="3" s="1"/>
  <c r="P87" i="3" s="1"/>
  <c r="M71" i="3"/>
  <c r="N71" i="3" s="1"/>
  <c r="O71" i="3" s="1"/>
  <c r="P71" i="3" s="1"/>
  <c r="M65" i="3"/>
  <c r="N65" i="3" s="1"/>
  <c r="O65" i="3" s="1"/>
  <c r="P65" i="3" s="1"/>
  <c r="M92" i="3"/>
  <c r="N92" i="3" s="1"/>
  <c r="O92" i="3" s="1"/>
  <c r="P92" i="3" s="1"/>
  <c r="M108" i="3"/>
  <c r="T108" i="3" s="1"/>
  <c r="U108" i="3" s="1"/>
  <c r="V108" i="3" s="1"/>
  <c r="AB108" i="3" s="1"/>
  <c r="M68" i="3"/>
  <c r="N68" i="3" s="1"/>
  <c r="O68" i="3" s="1"/>
  <c r="P68" i="3" s="1"/>
  <c r="M111" i="3"/>
  <c r="T111" i="3" s="1"/>
  <c r="U111" i="3" s="1"/>
  <c r="V111" i="3" s="1"/>
  <c r="AB111" i="3" s="1"/>
  <c r="M138" i="3"/>
  <c r="T138" i="3" s="1"/>
  <c r="U138" i="3" s="1"/>
  <c r="V138" i="3" s="1"/>
  <c r="AB138" i="3" s="1"/>
  <c r="AC138" i="3" s="1"/>
  <c r="M154" i="3"/>
  <c r="T154" i="3" s="1"/>
  <c r="U154" i="3" s="1"/>
  <c r="V154" i="3" s="1"/>
  <c r="AB154" i="3" s="1"/>
  <c r="M119" i="3"/>
  <c r="N119" i="3" s="1"/>
  <c r="O119" i="3" s="1"/>
  <c r="P119" i="3" s="1"/>
  <c r="M135" i="3"/>
  <c r="N135" i="3" s="1"/>
  <c r="O135" i="3" s="1"/>
  <c r="P135" i="3" s="1"/>
  <c r="X135" i="3" s="1"/>
  <c r="M151" i="3"/>
  <c r="T151" i="3" s="1"/>
  <c r="U151" i="3" s="1"/>
  <c r="V151" i="3" s="1"/>
  <c r="AB151" i="3" s="1"/>
  <c r="M167" i="3"/>
  <c r="T167" i="3" s="1"/>
  <c r="U167" i="3" s="1"/>
  <c r="V167" i="3" s="1"/>
  <c r="AB167" i="3" s="1"/>
  <c r="M176" i="3"/>
  <c r="T176" i="3" s="1"/>
  <c r="U176" i="3" s="1"/>
  <c r="V176" i="3" s="1"/>
  <c r="AB176" i="3" s="1"/>
  <c r="M164" i="3"/>
  <c r="N164" i="3" s="1"/>
  <c r="O164" i="3" s="1"/>
  <c r="P164" i="3" s="1"/>
  <c r="M185" i="3"/>
  <c r="N185" i="3" s="1"/>
  <c r="O185" i="3" s="1"/>
  <c r="P185" i="3" s="1"/>
  <c r="M199" i="3"/>
  <c r="N199" i="3" s="1"/>
  <c r="O199" i="3" s="1"/>
  <c r="P199" i="3" s="1"/>
  <c r="M194" i="3"/>
  <c r="T194" i="3" s="1"/>
  <c r="U194" i="3" s="1"/>
  <c r="V194" i="3" s="1"/>
  <c r="AB194" i="3" s="1"/>
  <c r="M235" i="3"/>
  <c r="N235" i="3" s="1"/>
  <c r="O235" i="3" s="1"/>
  <c r="P235" i="3" s="1"/>
  <c r="M227" i="3"/>
  <c r="T227" i="3" s="1"/>
  <c r="U227" i="3" s="1"/>
  <c r="V227" i="3" s="1"/>
  <c r="AB227" i="3" s="1"/>
  <c r="M234" i="3"/>
  <c r="T234" i="3" s="1"/>
  <c r="U234" i="3" s="1"/>
  <c r="V234" i="3" s="1"/>
  <c r="AB234" i="3" s="1"/>
  <c r="AC234" i="3" s="1"/>
  <c r="M81" i="3"/>
  <c r="T81" i="3" s="1"/>
  <c r="U81" i="3" s="1"/>
  <c r="V81" i="3" s="1"/>
  <c r="AB81" i="3" s="1"/>
  <c r="M95" i="3"/>
  <c r="N95" i="3" s="1"/>
  <c r="O95" i="3" s="1"/>
  <c r="P95" i="3" s="1"/>
  <c r="M67" i="3"/>
  <c r="T67" i="3" s="1"/>
  <c r="M85" i="3"/>
  <c r="N85" i="3" s="1"/>
  <c r="O85" i="3" s="1"/>
  <c r="P85" i="3" s="1"/>
  <c r="M101" i="3"/>
  <c r="N101" i="3" s="1"/>
  <c r="O101" i="3" s="1"/>
  <c r="P101" i="3" s="1"/>
  <c r="M82" i="3"/>
  <c r="N82" i="3" s="1"/>
  <c r="O82" i="3" s="1"/>
  <c r="P82" i="3" s="1"/>
  <c r="M88" i="3"/>
  <c r="T88" i="3" s="1"/>
  <c r="U88" i="3" s="1"/>
  <c r="V88" i="3" s="1"/>
  <c r="AB88" i="3" s="1"/>
  <c r="AC88" i="3" s="1"/>
  <c r="M96" i="3"/>
  <c r="M104" i="3"/>
  <c r="N104" i="3" s="1"/>
  <c r="O104" i="3" s="1"/>
  <c r="P104" i="3" s="1"/>
  <c r="M124" i="3"/>
  <c r="T124" i="3" s="1"/>
  <c r="U124" i="3" s="1"/>
  <c r="V124" i="3" s="1"/>
  <c r="AB124" i="3" s="1"/>
  <c r="M64" i="3"/>
  <c r="T64" i="3" s="1"/>
  <c r="U64" i="3" s="1"/>
  <c r="V64" i="3" s="1"/>
  <c r="M72" i="3"/>
  <c r="N72" i="3" s="1"/>
  <c r="O72" i="3" s="1"/>
  <c r="P72" i="3" s="1"/>
  <c r="M80" i="3"/>
  <c r="N80" i="3" s="1"/>
  <c r="O80" i="3" s="1"/>
  <c r="P80" i="3" s="1"/>
  <c r="M116" i="3"/>
  <c r="T116" i="3" s="1"/>
  <c r="U116" i="3" s="1"/>
  <c r="V116" i="3" s="1"/>
  <c r="AB116" i="3" s="1"/>
  <c r="M183" i="3"/>
  <c r="N183" i="3" s="1"/>
  <c r="O183" i="3" s="1"/>
  <c r="P183" i="3" s="1"/>
  <c r="M142" i="3"/>
  <c r="N142" i="3" s="1"/>
  <c r="O142" i="3" s="1"/>
  <c r="P142" i="3" s="1"/>
  <c r="M150" i="3"/>
  <c r="N150" i="3" s="1"/>
  <c r="O150" i="3" s="1"/>
  <c r="P150" i="3" s="1"/>
  <c r="M181" i="3"/>
  <c r="N181" i="3" s="1"/>
  <c r="O181" i="3" s="1"/>
  <c r="P181" i="3" s="1"/>
  <c r="M115" i="3"/>
  <c r="T115" i="3" s="1"/>
  <c r="U115" i="3" s="1"/>
  <c r="V115" i="3" s="1"/>
  <c r="M123" i="3"/>
  <c r="T123" i="3" s="1"/>
  <c r="U123" i="3" s="1"/>
  <c r="V123" i="3" s="1"/>
  <c r="AB123" i="3" s="1"/>
  <c r="AD123" i="3" s="1"/>
  <c r="M131" i="3"/>
  <c r="T131" i="3" s="1"/>
  <c r="U131" i="3" s="1"/>
  <c r="V131" i="3" s="1"/>
  <c r="AB131" i="3" s="1"/>
  <c r="AD131" i="3" s="1"/>
  <c r="M139" i="3"/>
  <c r="N139" i="3" s="1"/>
  <c r="O139" i="3" s="1"/>
  <c r="P139" i="3" s="1"/>
  <c r="M147" i="3"/>
  <c r="T147" i="3" s="1"/>
  <c r="U147" i="3" s="1"/>
  <c r="V147" i="3" s="1"/>
  <c r="AB147" i="3" s="1"/>
  <c r="M155" i="3"/>
  <c r="T155" i="3" s="1"/>
  <c r="U155" i="3" s="1"/>
  <c r="V155" i="3" s="1"/>
  <c r="AB155" i="3" s="1"/>
  <c r="AD155" i="3" s="1"/>
  <c r="M163" i="3"/>
  <c r="T163" i="3" s="1"/>
  <c r="U163" i="3" s="1"/>
  <c r="V163" i="3" s="1"/>
  <c r="AB163" i="3" s="1"/>
  <c r="M177" i="3"/>
  <c r="T177" i="3" s="1"/>
  <c r="U177" i="3" s="1"/>
  <c r="V177" i="3" s="1"/>
  <c r="AB177" i="3" s="1"/>
  <c r="M172" i="3"/>
  <c r="T172" i="3" s="1"/>
  <c r="U172" i="3" s="1"/>
  <c r="V172" i="3" s="1"/>
  <c r="AB172" i="3" s="1"/>
  <c r="AD172" i="3" s="1"/>
  <c r="M180" i="3"/>
  <c r="T180" i="3" s="1"/>
  <c r="U180" i="3" s="1"/>
  <c r="V180" i="3" s="1"/>
  <c r="AB180" i="3" s="1"/>
  <c r="AD180" i="3" s="1"/>
  <c r="M160" i="3"/>
  <c r="N160" i="3" s="1"/>
  <c r="O160" i="3" s="1"/>
  <c r="P160" i="3" s="1"/>
  <c r="M168" i="3"/>
  <c r="N168" i="3" s="1"/>
  <c r="O168" i="3" s="1"/>
  <c r="P168" i="3" s="1"/>
  <c r="M208" i="3"/>
  <c r="T208" i="3" s="1"/>
  <c r="U208" i="3" s="1"/>
  <c r="V208" i="3" s="1"/>
  <c r="AB208" i="3" s="1"/>
  <c r="AC208" i="3" s="1"/>
  <c r="M189" i="3"/>
  <c r="T189" i="3" s="1"/>
  <c r="U189" i="3" s="1"/>
  <c r="V189" i="3" s="1"/>
  <c r="AB189" i="3" s="1"/>
  <c r="M195" i="3"/>
  <c r="N195" i="3" s="1"/>
  <c r="O195" i="3" s="1"/>
  <c r="P195" i="3" s="1"/>
  <c r="M202" i="3"/>
  <c r="T202" i="3" s="1"/>
  <c r="U202" i="3" s="1"/>
  <c r="V202" i="3" s="1"/>
  <c r="AB202" i="3" s="1"/>
  <c r="M190" i="3"/>
  <c r="T190" i="3" s="1"/>
  <c r="U190" i="3" s="1"/>
  <c r="V190" i="3" s="1"/>
  <c r="AB190" i="3" s="1"/>
  <c r="AD190" i="3" s="1"/>
  <c r="M198" i="3"/>
  <c r="N198" i="3" s="1"/>
  <c r="O198" i="3" s="1"/>
  <c r="P198" i="3" s="1"/>
  <c r="M213" i="3"/>
  <c r="T213" i="3" s="1"/>
  <c r="U213" i="3" s="1"/>
  <c r="V213" i="3" s="1"/>
  <c r="AB213" i="3" s="1"/>
  <c r="M212" i="3"/>
  <c r="T212" i="3" s="1"/>
  <c r="U212" i="3" s="1"/>
  <c r="V212" i="3" s="1"/>
  <c r="AB212" i="3" s="1"/>
  <c r="M229" i="3"/>
  <c r="N229" i="3" s="1"/>
  <c r="O229" i="3" s="1"/>
  <c r="P229" i="3" s="1"/>
  <c r="X229" i="3" s="1"/>
  <c r="Z229" i="3" s="1"/>
  <c r="M223" i="3"/>
  <c r="T223" i="3" s="1"/>
  <c r="U223" i="3" s="1"/>
  <c r="V223" i="3" s="1"/>
  <c r="AB223" i="3" s="1"/>
  <c r="M217" i="3"/>
  <c r="N217" i="3" s="1"/>
  <c r="O217" i="3" s="1"/>
  <c r="P217" i="3" s="1"/>
  <c r="M236" i="3"/>
  <c r="T236" i="3" s="1"/>
  <c r="U236" i="3" s="1"/>
  <c r="V236" i="3" s="1"/>
  <c r="AB236" i="3" s="1"/>
  <c r="M222" i="3"/>
  <c r="N222" i="3" s="1"/>
  <c r="O222" i="3" s="1"/>
  <c r="P222" i="3" s="1"/>
  <c r="M230" i="3"/>
  <c r="N230" i="3" s="1"/>
  <c r="O230" i="3" s="1"/>
  <c r="P230" i="3" s="1"/>
  <c r="M248" i="3"/>
  <c r="T248" i="3" s="1"/>
  <c r="U248" i="3" s="1"/>
  <c r="V248" i="3" s="1"/>
  <c r="AB248" i="3" s="1"/>
  <c r="AD248" i="3" s="1"/>
  <c r="M243" i="3"/>
  <c r="T243" i="3" s="1"/>
  <c r="U243" i="3" s="1"/>
  <c r="V243" i="3" s="1"/>
  <c r="AB243" i="3" s="1"/>
  <c r="AD243" i="3" s="1"/>
  <c r="M254" i="3"/>
  <c r="T254" i="3" s="1"/>
  <c r="U254" i="3" s="1"/>
  <c r="V254" i="3" s="1"/>
  <c r="AB254" i="3" s="1"/>
  <c r="AD254" i="3" s="1"/>
  <c r="M253" i="3"/>
  <c r="N253" i="3" s="1"/>
  <c r="O253" i="3" s="1"/>
  <c r="P253" i="3" s="1"/>
  <c r="M258" i="3"/>
  <c r="N258" i="3" s="1"/>
  <c r="O258" i="3" s="1"/>
  <c r="P258" i="3" s="1"/>
  <c r="T95" i="3"/>
  <c r="U95" i="3" s="1"/>
  <c r="V95" i="3" s="1"/>
  <c r="AB95" i="3" s="1"/>
  <c r="AD95" i="3" s="1"/>
  <c r="N208" i="3"/>
  <c r="O208" i="3" s="1"/>
  <c r="P208" i="3" s="1"/>
  <c r="AT69" i="3"/>
  <c r="AU69" i="3" s="1"/>
  <c r="F116" i="3"/>
  <c r="H116" i="3" s="1"/>
  <c r="AO210" i="3"/>
  <c r="AP251" i="3"/>
  <c r="AP191" i="3"/>
  <c r="AP118" i="3"/>
  <c r="AP105" i="3"/>
  <c r="T171" i="3"/>
  <c r="U171" i="3" s="1"/>
  <c r="V171" i="3" s="1"/>
  <c r="AB171" i="3" s="1"/>
  <c r="AD171" i="3" s="1"/>
  <c r="K29" i="1"/>
  <c r="AO211" i="3"/>
  <c r="AP157" i="3"/>
  <c r="AP89" i="3"/>
  <c r="AP196" i="3"/>
  <c r="AP224" i="3"/>
  <c r="AP94" i="3"/>
  <c r="AP98" i="3"/>
  <c r="AO204" i="3"/>
  <c r="AO144" i="3"/>
  <c r="AO136" i="3"/>
  <c r="AO111" i="3"/>
  <c r="AO180" i="3"/>
  <c r="AO264" i="3"/>
  <c r="AP181" i="3"/>
  <c r="AO114" i="3"/>
  <c r="AP204" i="3"/>
  <c r="AP77" i="3"/>
  <c r="AO78" i="3"/>
  <c r="AO120" i="3"/>
  <c r="AO99" i="3"/>
  <c r="AP139" i="3"/>
  <c r="AO157" i="3"/>
  <c r="AO93" i="3"/>
  <c r="AO128" i="3"/>
  <c r="AO151" i="3"/>
  <c r="AP264" i="3"/>
  <c r="AO195" i="3"/>
  <c r="AO89" i="3"/>
  <c r="AO119" i="3"/>
  <c r="AO238" i="3"/>
  <c r="AO227" i="3"/>
  <c r="AO219" i="3"/>
  <c r="AO220" i="3"/>
  <c r="AO209" i="3"/>
  <c r="AO200" i="3"/>
  <c r="AO101" i="3"/>
  <c r="AO168" i="3"/>
  <c r="AO72" i="3"/>
  <c r="AO250" i="3"/>
  <c r="AO97" i="3"/>
  <c r="AP134" i="3"/>
  <c r="AP72" i="3"/>
  <c r="AO256" i="3"/>
  <c r="AP209" i="3"/>
  <c r="AP87" i="3"/>
  <c r="AO246" i="3"/>
  <c r="AO184" i="3"/>
  <c r="AO194" i="3"/>
  <c r="AP220" i="3"/>
  <c r="AP173" i="3"/>
  <c r="AP150" i="3"/>
  <c r="AP73" i="3"/>
  <c r="AO254" i="3"/>
  <c r="AO218" i="3"/>
  <c r="AO222" i="3"/>
  <c r="AO167" i="3"/>
  <c r="AO148" i="3"/>
  <c r="AO143" i="3"/>
  <c r="AP168" i="3"/>
  <c r="AP76" i="3"/>
  <c r="AO172" i="3"/>
  <c r="AO137" i="3"/>
  <c r="AO81" i="3"/>
  <c r="AP175" i="3"/>
  <c r="AP117" i="3"/>
  <c r="AO190" i="3"/>
  <c r="AO176" i="3"/>
  <c r="AO134" i="3"/>
  <c r="AP239" i="3"/>
  <c r="AT210" i="3"/>
  <c r="AU210" i="3" s="1"/>
  <c r="AT182" i="3"/>
  <c r="AU182" i="3" s="1"/>
  <c r="AT174" i="3"/>
  <c r="AU174" i="3" s="1"/>
  <c r="AT180" i="3"/>
  <c r="AU180" i="3" s="1"/>
  <c r="AT212" i="3"/>
  <c r="AU212" i="3" s="1"/>
  <c r="AT207" i="3"/>
  <c r="AU207" i="3" s="1"/>
  <c r="AW207" i="3" s="1"/>
  <c r="AT235" i="3"/>
  <c r="AU235" i="3" s="1"/>
  <c r="AP93" i="3"/>
  <c r="AP229" i="3"/>
  <c r="AO182" i="3"/>
  <c r="AO174" i="3"/>
  <c r="AO188" i="3"/>
  <c r="AO71" i="3"/>
  <c r="AO83" i="3"/>
  <c r="AP91" i="3"/>
  <c r="AP66" i="3"/>
  <c r="AO239" i="3"/>
  <c r="AO206" i="3"/>
  <c r="AO177" i="3"/>
  <c r="AO107" i="3"/>
  <c r="AO76" i="3"/>
  <c r="AP244" i="3"/>
  <c r="AP221" i="3"/>
  <c r="AP211" i="3"/>
  <c r="AP208" i="3"/>
  <c r="AP165" i="3"/>
  <c r="AP174" i="3"/>
  <c r="AP142" i="3"/>
  <c r="AO248" i="3"/>
  <c r="AO229" i="3"/>
  <c r="AO186" i="3"/>
  <c r="AO147" i="3"/>
  <c r="AO73" i="3"/>
  <c r="AO103" i="3"/>
  <c r="AO198" i="3"/>
  <c r="AO152" i="3"/>
  <c r="AO77" i="3"/>
  <c r="AO68" i="3"/>
  <c r="AP171" i="3"/>
  <c r="AP113" i="3"/>
  <c r="AO173" i="3"/>
  <c r="AO130" i="3"/>
  <c r="AO158" i="3"/>
  <c r="AO129" i="3"/>
  <c r="AO121" i="3"/>
  <c r="AO88" i="3"/>
  <c r="AO85" i="3"/>
  <c r="AO244" i="3"/>
  <c r="AO163" i="3"/>
  <c r="AO161" i="3"/>
  <c r="AO192" i="3"/>
  <c r="AO118" i="3"/>
  <c r="AO109" i="3"/>
  <c r="AO87" i="3"/>
  <c r="AO66" i="3"/>
  <c r="AO86" i="3"/>
  <c r="AO64" i="3"/>
  <c r="AO263" i="3"/>
  <c r="AO261" i="3"/>
  <c r="AP252" i="3"/>
  <c r="AP158" i="3"/>
  <c r="AO140" i="3"/>
  <c r="AP260" i="3"/>
  <c r="AP241" i="3"/>
  <c r="AP163" i="3"/>
  <c r="AO260" i="3"/>
  <c r="AO252" i="3"/>
  <c r="AO113" i="3"/>
  <c r="AO145" i="3"/>
  <c r="AO225" i="3"/>
  <c r="AP261" i="3"/>
  <c r="AP231" i="3"/>
  <c r="AP107" i="3"/>
  <c r="AP141" i="3"/>
  <c r="AO231" i="3"/>
  <c r="AO142" i="3"/>
  <c r="AO141" i="3"/>
  <c r="G100" i="3"/>
  <c r="F261" i="3"/>
  <c r="H261" i="3" s="1"/>
  <c r="F207" i="3"/>
  <c r="G207" i="3" s="1"/>
  <c r="F170" i="3"/>
  <c r="G170" i="3" s="1"/>
  <c r="F253" i="3"/>
  <c r="G253" i="3" s="1"/>
  <c r="AT188" i="3"/>
  <c r="AU188" i="3" s="1"/>
  <c r="AT181" i="3"/>
  <c r="AU181" i="3" s="1"/>
  <c r="AT130" i="3"/>
  <c r="AU130" i="3" s="1"/>
  <c r="AW130" i="3" s="1"/>
  <c r="AT111" i="3"/>
  <c r="AU111" i="3" s="1"/>
  <c r="AT264" i="3"/>
  <c r="AU264" i="3" s="1"/>
  <c r="AT72" i="3"/>
  <c r="AU72" i="3" s="1"/>
  <c r="AT190" i="3"/>
  <c r="AU190" i="3" s="1"/>
  <c r="AT95" i="3"/>
  <c r="AU95" i="3" s="1"/>
  <c r="AT239" i="3"/>
  <c r="AU239" i="3" s="1"/>
  <c r="AT218" i="3"/>
  <c r="AU218" i="3" s="1"/>
  <c r="AT140" i="3"/>
  <c r="AU140" i="3" s="1"/>
  <c r="AW140" i="3" s="1"/>
  <c r="AT152" i="3"/>
  <c r="AU152" i="3" s="1"/>
  <c r="AW152" i="3" s="1"/>
  <c r="AT260" i="3"/>
  <c r="AU260" i="3" s="1"/>
  <c r="AT164" i="3"/>
  <c r="AU164" i="3" s="1"/>
  <c r="AT148" i="3"/>
  <c r="AU148" i="3" s="1"/>
  <c r="AW148" i="3" s="1"/>
  <c r="AT115" i="3"/>
  <c r="AU115" i="3" s="1"/>
  <c r="AW115" i="3" s="1"/>
  <c r="AT197" i="3"/>
  <c r="AU197" i="3" s="1"/>
  <c r="AW197" i="3" s="1"/>
  <c r="AT198" i="3"/>
  <c r="AU198" i="3" s="1"/>
  <c r="AT172" i="3"/>
  <c r="AU172" i="3" s="1"/>
  <c r="AT128" i="3"/>
  <c r="AU128" i="3" s="1"/>
  <c r="AW128" i="3" s="1"/>
  <c r="AY128" i="3" s="1"/>
  <c r="AT151" i="3"/>
  <c r="AU151" i="3" s="1"/>
  <c r="AT105" i="3"/>
  <c r="AU105" i="3" s="1"/>
  <c r="AP256" i="3"/>
  <c r="F158" i="3"/>
  <c r="G158" i="3" s="1"/>
  <c r="AP122" i="3"/>
  <c r="AP114" i="3"/>
  <c r="AP248" i="3"/>
  <c r="AP218" i="3"/>
  <c r="AP85" i="3"/>
  <c r="K28" i="1"/>
  <c r="F246" i="3"/>
  <c r="G246" i="3" s="1"/>
  <c r="F217" i="3"/>
  <c r="G217" i="3" s="1"/>
  <c r="F201" i="3"/>
  <c r="G201" i="3" s="1"/>
  <c r="J72" i="2"/>
  <c r="P72" i="2"/>
  <c r="N72" i="2"/>
  <c r="O72" i="2"/>
  <c r="I72" i="2"/>
  <c r="M72" i="2"/>
  <c r="K72" i="2"/>
  <c r="F222" i="3"/>
  <c r="G222" i="3" s="1"/>
  <c r="F152" i="3"/>
  <c r="H152" i="3" s="1"/>
  <c r="AT131" i="3"/>
  <c r="AU131" i="3" s="1"/>
  <c r="AT77" i="3"/>
  <c r="AU77" i="3" s="1"/>
  <c r="AT68" i="3"/>
  <c r="AU68" i="3" s="1"/>
  <c r="AW68" i="3" s="1"/>
  <c r="AO237" i="3"/>
  <c r="AT228" i="3"/>
  <c r="AU228" i="3" s="1"/>
  <c r="F161" i="3"/>
  <c r="AP236" i="3"/>
  <c r="AO193" i="3"/>
  <c r="AO159" i="3"/>
  <c r="AT147" i="3"/>
  <c r="AU147" i="3" s="1"/>
  <c r="AP127" i="3"/>
  <c r="AO110" i="3"/>
  <c r="AP179" i="3"/>
  <c r="AO258" i="3"/>
  <c r="AO191" i="3"/>
  <c r="AT165" i="3"/>
  <c r="AU165" i="3" s="1"/>
  <c r="AO79" i="3"/>
  <c r="AP230" i="3"/>
  <c r="AO202" i="3"/>
  <c r="AO127" i="3"/>
  <c r="G254" i="3"/>
  <c r="AP262" i="3"/>
  <c r="AT123" i="3"/>
  <c r="AU123" i="3" s="1"/>
  <c r="AW123" i="3" s="1"/>
  <c r="AP111" i="3"/>
  <c r="AO226" i="3"/>
  <c r="AT120" i="3"/>
  <c r="AU120" i="3" s="1"/>
  <c r="AT184" i="3"/>
  <c r="AU184" i="3" s="1"/>
  <c r="AW184" i="3" s="1"/>
  <c r="AY184" i="3" s="1"/>
  <c r="AT187" i="3"/>
  <c r="AU187" i="3" s="1"/>
  <c r="AO179" i="3"/>
  <c r="AO228" i="3"/>
  <c r="AO175" i="3"/>
  <c r="AP78" i="3"/>
  <c r="AP243" i="3"/>
  <c r="AP234" i="3"/>
  <c r="AP126" i="3"/>
  <c r="AP112" i="3"/>
  <c r="F259" i="3"/>
  <c r="G259" i="3" s="1"/>
  <c r="F64" i="3"/>
  <c r="H64" i="3" s="1"/>
  <c r="AT262" i="3"/>
  <c r="AU262" i="3" s="1"/>
  <c r="AO249" i="3"/>
  <c r="AO240" i="3"/>
  <c r="AT248" i="3"/>
  <c r="AU248" i="3" s="1"/>
  <c r="AO221" i="3"/>
  <c r="AO201" i="3"/>
  <c r="AO132" i="3"/>
  <c r="AO124" i="3"/>
  <c r="AO116" i="3"/>
  <c r="AO155" i="3"/>
  <c r="AO257" i="3"/>
  <c r="AT226" i="3"/>
  <c r="AU226" i="3" s="1"/>
  <c r="AT110" i="3"/>
  <c r="AU110" i="3" s="1"/>
  <c r="AW110" i="3" s="1"/>
  <c r="AP189" i="3"/>
  <c r="AP79" i="3"/>
  <c r="F219" i="3"/>
  <c r="G219" i="3" s="1"/>
  <c r="F214" i="3"/>
  <c r="G214" i="3" s="1"/>
  <c r="F163" i="3"/>
  <c r="H163" i="3" s="1"/>
  <c r="AP121" i="3"/>
  <c r="AT216" i="3"/>
  <c r="AU216" i="3" s="1"/>
  <c r="AW216" i="3" s="1"/>
  <c r="AX216" i="3" s="1"/>
  <c r="AO156" i="3"/>
  <c r="AO150" i="3"/>
  <c r="AO149" i="3"/>
  <c r="AO178" i="3"/>
  <c r="AT227" i="3"/>
  <c r="AU227" i="3" s="1"/>
  <c r="AT219" i="3"/>
  <c r="AU219" i="3" s="1"/>
  <c r="AW219" i="3" s="1"/>
  <c r="AT208" i="3"/>
  <c r="AU208" i="3" s="1"/>
  <c r="AT179" i="3"/>
  <c r="AU179" i="3" s="1"/>
  <c r="AT158" i="3"/>
  <c r="AU158" i="3" s="1"/>
  <c r="F136" i="3"/>
  <c r="G136" i="3" s="1"/>
  <c r="AO205" i="3"/>
  <c r="AT168" i="3"/>
  <c r="AU168" i="3" s="1"/>
  <c r="AP202" i="3"/>
  <c r="AP178" i="3"/>
  <c r="AP70" i="3"/>
  <c r="AO251" i="3"/>
  <c r="AT176" i="3"/>
  <c r="AU176" i="3" s="1"/>
  <c r="AT192" i="3"/>
  <c r="AU192" i="3" s="1"/>
  <c r="AW192" i="3" s="1"/>
  <c r="AO126" i="3"/>
  <c r="AT133" i="3"/>
  <c r="AU133" i="3" s="1"/>
  <c r="AW133" i="3" s="1"/>
  <c r="AT125" i="3"/>
  <c r="AU125" i="3" s="1"/>
  <c r="AW125" i="3" s="1"/>
  <c r="AO92" i="3"/>
  <c r="AO105" i="3"/>
  <c r="AT89" i="3"/>
  <c r="AU89" i="3" s="1"/>
  <c r="AO95" i="3"/>
  <c r="AT74" i="3"/>
  <c r="AU74" i="3" s="1"/>
  <c r="AP233" i="3"/>
  <c r="AP185" i="3"/>
  <c r="AO253" i="3"/>
  <c r="AT236" i="3"/>
  <c r="AU236" i="3" s="1"/>
  <c r="AO183" i="3"/>
  <c r="AO185" i="3"/>
  <c r="AP172" i="3"/>
  <c r="AP95" i="3"/>
  <c r="F154" i="3"/>
  <c r="H154" i="3" s="1"/>
  <c r="AT246" i="3"/>
  <c r="AU246" i="3" s="1"/>
  <c r="AW246" i="3" s="1"/>
  <c r="AO216" i="3"/>
  <c r="AO199" i="3"/>
  <c r="AO165" i="3"/>
  <c r="AP187" i="3"/>
  <c r="AP146" i="3"/>
  <c r="AO122" i="3"/>
  <c r="AT122" i="3"/>
  <c r="AU122" i="3" s="1"/>
  <c r="AO153" i="3"/>
  <c r="AT112" i="3"/>
  <c r="AU112" i="3" s="1"/>
  <c r="AO104" i="3"/>
  <c r="AT79" i="3"/>
  <c r="AU79" i="3" s="1"/>
  <c r="AP247" i="3"/>
  <c r="AO230" i="3"/>
  <c r="AP253" i="3"/>
  <c r="AP183" i="3"/>
  <c r="AP144" i="3"/>
  <c r="F249" i="3"/>
  <c r="H249" i="3" s="1"/>
  <c r="F216" i="3"/>
  <c r="H216" i="3" s="1"/>
  <c r="AO242" i="3"/>
  <c r="AT250" i="3"/>
  <c r="AU250" i="3" s="1"/>
  <c r="AO223" i="3"/>
  <c r="AT202" i="3"/>
  <c r="AU202" i="3" s="1"/>
  <c r="AO169" i="3"/>
  <c r="AT149" i="3"/>
  <c r="AU149" i="3" s="1"/>
  <c r="AW149" i="3" s="1"/>
  <c r="AT141" i="3"/>
  <c r="AU141" i="3" s="1"/>
  <c r="AT97" i="3"/>
  <c r="AU97" i="3" s="1"/>
  <c r="AO139" i="3"/>
  <c r="AT87" i="3"/>
  <c r="AU87" i="3" s="1"/>
  <c r="AO70" i="3"/>
  <c r="AO74" i="3"/>
  <c r="AP64" i="3"/>
  <c r="AT261" i="3"/>
  <c r="AU261" i="3" s="1"/>
  <c r="AT253" i="3"/>
  <c r="AU253" i="3" s="1"/>
  <c r="AO233" i="3"/>
  <c r="AT177" i="3"/>
  <c r="AU177" i="3" s="1"/>
  <c r="AT119" i="3"/>
  <c r="AU119" i="3" s="1"/>
  <c r="AT91" i="3"/>
  <c r="AU91" i="3" s="1"/>
  <c r="AT64" i="3"/>
  <c r="AU64" i="3" s="1"/>
  <c r="F212" i="3"/>
  <c r="G212" i="3" s="1"/>
  <c r="F223" i="3"/>
  <c r="H223" i="3" s="1"/>
  <c r="F171" i="3"/>
  <c r="H171" i="3" s="1"/>
  <c r="F82" i="3"/>
  <c r="H82" i="3" s="1"/>
  <c r="F202" i="3"/>
  <c r="G202" i="3" s="1"/>
  <c r="F203" i="3"/>
  <c r="G203" i="3" s="1"/>
  <c r="F129" i="3"/>
  <c r="G129" i="3" s="1"/>
  <c r="F111" i="3"/>
  <c r="G111" i="3" s="1"/>
  <c r="F236" i="3"/>
  <c r="G236" i="3" s="1"/>
  <c r="F192" i="3"/>
  <c r="H192" i="3" s="1"/>
  <c r="F175" i="3"/>
  <c r="H175" i="3" s="1"/>
  <c r="F109" i="3"/>
  <c r="G109" i="3" s="1"/>
  <c r="F211" i="3"/>
  <c r="G211" i="3" s="1"/>
  <c r="F145" i="3"/>
  <c r="G145" i="3" s="1"/>
  <c r="F238" i="3"/>
  <c r="G238" i="3" s="1"/>
  <c r="F208" i="3"/>
  <c r="H208" i="3" s="1"/>
  <c r="F137" i="3"/>
  <c r="H137" i="3" s="1"/>
  <c r="F138" i="3"/>
  <c r="G138" i="3" s="1"/>
  <c r="F189" i="3"/>
  <c r="H189" i="3" s="1"/>
  <c r="F88" i="3"/>
  <c r="H88" i="3" s="1"/>
  <c r="F231" i="3"/>
  <c r="H231" i="3" s="1"/>
  <c r="F186" i="3"/>
  <c r="G186" i="3" s="1"/>
  <c r="G169" i="3"/>
  <c r="H169" i="3"/>
  <c r="G174" i="3"/>
  <c r="H174" i="3"/>
  <c r="AT106" i="3"/>
  <c r="AU106" i="3" s="1"/>
  <c r="AT90" i="3"/>
  <c r="AU90" i="3" s="1"/>
  <c r="AW90" i="3" s="1"/>
  <c r="H245" i="3"/>
  <c r="F185" i="3"/>
  <c r="AO207" i="3"/>
  <c r="AO106" i="3"/>
  <c r="AO90" i="3"/>
  <c r="AT103" i="3"/>
  <c r="AU103" i="3" s="1"/>
  <c r="AW103" i="3" s="1"/>
  <c r="F107" i="3"/>
  <c r="AT78" i="3"/>
  <c r="AU78" i="3" s="1"/>
  <c r="AT247" i="3"/>
  <c r="AU247" i="3" s="1"/>
  <c r="AT170" i="3"/>
  <c r="AU170" i="3" s="1"/>
  <c r="AW170" i="3" s="1"/>
  <c r="AT99" i="3"/>
  <c r="AU99" i="3" s="1"/>
  <c r="AW99" i="3" s="1"/>
  <c r="H191" i="3"/>
  <c r="G135" i="3"/>
  <c r="H135" i="3"/>
  <c r="F172" i="3"/>
  <c r="F144" i="3"/>
  <c r="AT263" i="3"/>
  <c r="AU263" i="3" s="1"/>
  <c r="AW263" i="3" s="1"/>
  <c r="AT238" i="3"/>
  <c r="AU238" i="3" s="1"/>
  <c r="AW238" i="3" s="1"/>
  <c r="AO232" i="3"/>
  <c r="AT199" i="3"/>
  <c r="AU199" i="3" s="1"/>
  <c r="AT191" i="3"/>
  <c r="AU191" i="3" s="1"/>
  <c r="AT157" i="3"/>
  <c r="AU157" i="3" s="1"/>
  <c r="AT113" i="3"/>
  <c r="AU113" i="3" s="1"/>
  <c r="AO96" i="3"/>
  <c r="F233" i="3"/>
  <c r="AT102" i="3"/>
  <c r="AU102" i="3" s="1"/>
  <c r="AP254" i="3"/>
  <c r="AP167" i="3"/>
  <c r="AP164" i="3"/>
  <c r="F242" i="3"/>
  <c r="F89" i="3"/>
  <c r="AO203" i="3"/>
  <c r="AP259" i="3"/>
  <c r="AP235" i="3"/>
  <c r="AP210" i="3"/>
  <c r="AP203" i="3"/>
  <c r="AP180" i="3"/>
  <c r="AP147" i="3"/>
  <c r="AP129" i="3"/>
  <c r="F260" i="3"/>
  <c r="F221" i="3"/>
  <c r="F195" i="3"/>
  <c r="F153" i="3"/>
  <c r="F72" i="3"/>
  <c r="AP151" i="3"/>
  <c r="G108" i="3"/>
  <c r="H108" i="3"/>
  <c r="AT256" i="3"/>
  <c r="AU256" i="3" s="1"/>
  <c r="AT249" i="3"/>
  <c r="AU249" i="3" s="1"/>
  <c r="AW249" i="3" s="1"/>
  <c r="AT254" i="3"/>
  <c r="AU254" i="3" s="1"/>
  <c r="AT240" i="3"/>
  <c r="AU240" i="3" s="1"/>
  <c r="AW240" i="3" s="1"/>
  <c r="AT229" i="3"/>
  <c r="AU229" i="3" s="1"/>
  <c r="AT221" i="3"/>
  <c r="AU221" i="3" s="1"/>
  <c r="AO243" i="3"/>
  <c r="AO234" i="3"/>
  <c r="AO217" i="3"/>
  <c r="AT193" i="3"/>
  <c r="AU193" i="3" s="1"/>
  <c r="AW193" i="3" s="1"/>
  <c r="AT186" i="3"/>
  <c r="AU186" i="3" s="1"/>
  <c r="AW186" i="3" s="1"/>
  <c r="AT167" i="3"/>
  <c r="AU167" i="3" s="1"/>
  <c r="AT159" i="3"/>
  <c r="AU159" i="3" s="1"/>
  <c r="AW159" i="3" s="1"/>
  <c r="AO164" i="3"/>
  <c r="AT132" i="3"/>
  <c r="AU132" i="3" s="1"/>
  <c r="AW132" i="3" s="1"/>
  <c r="AT124" i="3"/>
  <c r="AU124" i="3" s="1"/>
  <c r="AW124" i="3" s="1"/>
  <c r="AT116" i="3"/>
  <c r="AU116" i="3" s="1"/>
  <c r="AW116" i="3" s="1"/>
  <c r="AT160" i="3"/>
  <c r="AU160" i="3" s="1"/>
  <c r="AW160" i="3" s="1"/>
  <c r="AT155" i="3"/>
  <c r="AU155" i="3" s="1"/>
  <c r="AW155" i="3" s="1"/>
  <c r="AT114" i="3"/>
  <c r="AU114" i="3" s="1"/>
  <c r="F110" i="3"/>
  <c r="F99" i="3"/>
  <c r="AT127" i="3"/>
  <c r="AU127" i="3" s="1"/>
  <c r="AP194" i="3"/>
  <c r="F258" i="3"/>
  <c r="F200" i="3"/>
  <c r="F156" i="3"/>
  <c r="F176" i="3"/>
  <c r="F119" i="3"/>
  <c r="F128" i="3"/>
  <c r="AO208" i="3"/>
  <c r="AT200" i="3"/>
  <c r="AU200" i="3" s="1"/>
  <c r="AW200" i="3" s="1"/>
  <c r="AT154" i="3"/>
  <c r="AU154" i="3" s="1"/>
  <c r="AW154" i="3" s="1"/>
  <c r="AT146" i="3"/>
  <c r="AU146" i="3" s="1"/>
  <c r="AT138" i="3"/>
  <c r="AU138" i="3" s="1"/>
  <c r="AW138" i="3" s="1"/>
  <c r="AT153" i="3"/>
  <c r="AU153" i="3" s="1"/>
  <c r="AW153" i="3" s="1"/>
  <c r="AT145" i="3"/>
  <c r="AU145" i="3" s="1"/>
  <c r="AW145" i="3" s="1"/>
  <c r="AT137" i="3"/>
  <c r="AU137" i="3" s="1"/>
  <c r="AT104" i="3"/>
  <c r="AU104" i="3" s="1"/>
  <c r="AW104" i="3" s="1"/>
  <c r="F96" i="3"/>
  <c r="AT83" i="3"/>
  <c r="AU83" i="3" s="1"/>
  <c r="AW83" i="3" s="1"/>
  <c r="AT101" i="3"/>
  <c r="AU101" i="3" s="1"/>
  <c r="AW101" i="3" s="1"/>
  <c r="AT93" i="3"/>
  <c r="AU93" i="3" s="1"/>
  <c r="AT85" i="3"/>
  <c r="AU85" i="3" s="1"/>
  <c r="AP225" i="3"/>
  <c r="AP69" i="3"/>
  <c r="F230" i="3"/>
  <c r="F225" i="3"/>
  <c r="AT230" i="3"/>
  <c r="AU230" i="3" s="1"/>
  <c r="AP237" i="3"/>
  <c r="AP212" i="3"/>
  <c r="AP109" i="3"/>
  <c r="AP75" i="3"/>
  <c r="F239" i="3"/>
  <c r="F213" i="3"/>
  <c r="F205" i="3"/>
  <c r="F155" i="3"/>
  <c r="F74" i="3"/>
  <c r="AP74" i="3"/>
  <c r="AP106" i="3"/>
  <c r="AT259" i="3"/>
  <c r="AU259" i="3" s="1"/>
  <c r="AT251" i="3"/>
  <c r="AU251" i="3" s="1"/>
  <c r="AO255" i="3"/>
  <c r="AT242" i="3"/>
  <c r="AU242" i="3" s="1"/>
  <c r="AW242" i="3" s="1"/>
  <c r="AT231" i="3"/>
  <c r="AU231" i="3" s="1"/>
  <c r="AT223" i="3"/>
  <c r="AU223" i="3" s="1"/>
  <c r="AW223" i="3" s="1"/>
  <c r="AO245" i="3"/>
  <c r="AT237" i="3"/>
  <c r="AU237" i="3" s="1"/>
  <c r="AO215" i="3"/>
  <c r="AT195" i="3"/>
  <c r="AU195" i="3" s="1"/>
  <c r="AW195" i="3" s="1"/>
  <c r="AO241" i="3"/>
  <c r="AO196" i="3"/>
  <c r="AT161" i="3"/>
  <c r="AU161" i="3" s="1"/>
  <c r="AW161" i="3" s="1"/>
  <c r="AO166" i="3"/>
  <c r="AT126" i="3"/>
  <c r="AU126" i="3" s="1"/>
  <c r="AT118" i="3"/>
  <c r="AU118" i="3" s="1"/>
  <c r="AT162" i="3"/>
  <c r="AU162" i="3" s="1"/>
  <c r="AW162" i="3" s="1"/>
  <c r="AT109" i="3"/>
  <c r="AU109" i="3" s="1"/>
  <c r="AT108" i="3"/>
  <c r="AU108" i="3" s="1"/>
  <c r="AW108" i="3" s="1"/>
  <c r="AT67" i="3"/>
  <c r="AU67" i="3" s="1"/>
  <c r="AT139" i="3"/>
  <c r="AU139" i="3" s="1"/>
  <c r="AT98" i="3"/>
  <c r="AU98" i="3" s="1"/>
  <c r="AT82" i="3"/>
  <c r="AU82" i="3" s="1"/>
  <c r="AW82" i="3" s="1"/>
  <c r="AT65" i="3"/>
  <c r="AU65" i="3" s="1"/>
  <c r="AT70" i="3"/>
  <c r="AU70" i="3" s="1"/>
  <c r="F86" i="3"/>
  <c r="AP143" i="3"/>
  <c r="AP206" i="3"/>
  <c r="AP177" i="3"/>
  <c r="F91" i="3"/>
  <c r="AT214" i="3"/>
  <c r="AU214" i="3" s="1"/>
  <c r="AT204" i="3"/>
  <c r="AU204" i="3" s="1"/>
  <c r="AT178" i="3"/>
  <c r="AU178" i="3" s="1"/>
  <c r="AT185" i="3"/>
  <c r="AU185" i="3" s="1"/>
  <c r="AT107" i="3"/>
  <c r="AU107" i="3" s="1"/>
  <c r="F112" i="3"/>
  <c r="AO187" i="3"/>
  <c r="AO112" i="3"/>
  <c r="AT96" i="3"/>
  <c r="AU96" i="3" s="1"/>
  <c r="AW96" i="3" s="1"/>
  <c r="AO102" i="3"/>
  <c r="AP226" i="3"/>
  <c r="AP198" i="3"/>
  <c r="F197" i="3"/>
  <c r="F160" i="3"/>
  <c r="F178" i="3"/>
  <c r="F139" i="3"/>
  <c r="F159" i="3"/>
  <c r="F105" i="3"/>
  <c r="AO259" i="3"/>
  <c r="AT245" i="3"/>
  <c r="AU245" i="3" s="1"/>
  <c r="AO224" i="3"/>
  <c r="AO212" i="3"/>
  <c r="AT203" i="3"/>
  <c r="AU203" i="3" s="1"/>
  <c r="AT241" i="3"/>
  <c r="AU241" i="3" s="1"/>
  <c r="AT175" i="3"/>
  <c r="AU175" i="3" s="1"/>
  <c r="AT166" i="3"/>
  <c r="AU166" i="3" s="1"/>
  <c r="AW166" i="3" s="1"/>
  <c r="AT150" i="3"/>
  <c r="AU150" i="3" s="1"/>
  <c r="AT142" i="3"/>
  <c r="AU142" i="3" s="1"/>
  <c r="AT134" i="3"/>
  <c r="AU134" i="3" s="1"/>
  <c r="AT100" i="3"/>
  <c r="AU100" i="3" s="1"/>
  <c r="AW100" i="3" s="1"/>
  <c r="AO84" i="3"/>
  <c r="N261" i="3"/>
  <c r="O261" i="3" s="1"/>
  <c r="P261" i="3" s="1"/>
  <c r="T261" i="3"/>
  <c r="U261" i="3" s="1"/>
  <c r="V261" i="3" s="1"/>
  <c r="AB261" i="3" s="1"/>
  <c r="F183" i="3"/>
  <c r="F76" i="3"/>
  <c r="AO94" i="3"/>
  <c r="F177" i="3"/>
  <c r="F157" i="3"/>
  <c r="G87" i="3"/>
  <c r="F140" i="3"/>
  <c r="AT243" i="3"/>
  <c r="AU243" i="3" s="1"/>
  <c r="AT234" i="3"/>
  <c r="AU234" i="3" s="1"/>
  <c r="AT222" i="3"/>
  <c r="AU222" i="3" s="1"/>
  <c r="AW222" i="3" s="1"/>
  <c r="AT217" i="3"/>
  <c r="AU217" i="3" s="1"/>
  <c r="AW217" i="3" s="1"/>
  <c r="AT201" i="3"/>
  <c r="AU201" i="3" s="1"/>
  <c r="AW201" i="3" s="1"/>
  <c r="AT213" i="3"/>
  <c r="AU213" i="3" s="1"/>
  <c r="AW213" i="3" s="1"/>
  <c r="AO160" i="3"/>
  <c r="AO131" i="3"/>
  <c r="AO123" i="3"/>
  <c r="AO115" i="3"/>
  <c r="AU257" i="3"/>
  <c r="AW257" i="3" s="1"/>
  <c r="AO197" i="3"/>
  <c r="AT143" i="3"/>
  <c r="AU143" i="3" s="1"/>
  <c r="AP258" i="3"/>
  <c r="AP227" i="3"/>
  <c r="AP156" i="3"/>
  <c r="G224" i="3"/>
  <c r="F227" i="3"/>
  <c r="F206" i="3"/>
  <c r="F151" i="3"/>
  <c r="AP102" i="3"/>
  <c r="AT258" i="3"/>
  <c r="AU258" i="3" s="1"/>
  <c r="AT252" i="3"/>
  <c r="AU252" i="3" s="1"/>
  <c r="AT209" i="3"/>
  <c r="AU209" i="3" s="1"/>
  <c r="AT173" i="3"/>
  <c r="AU173" i="3" s="1"/>
  <c r="AO154" i="3"/>
  <c r="AO146" i="3"/>
  <c r="AO138" i="3"/>
  <c r="AT129" i="3"/>
  <c r="AU129" i="3" s="1"/>
  <c r="AT121" i="3"/>
  <c r="AU121" i="3" s="1"/>
  <c r="AT88" i="3"/>
  <c r="AU88" i="3" s="1"/>
  <c r="AW88" i="3" s="1"/>
  <c r="AT71" i="3"/>
  <c r="AU71" i="3" s="1"/>
  <c r="F257" i="3"/>
  <c r="AT244" i="3"/>
  <c r="AU244" i="3" s="1"/>
  <c r="AT225" i="3"/>
  <c r="AU225" i="3" s="1"/>
  <c r="AT163" i="3"/>
  <c r="AU163" i="3" s="1"/>
  <c r="AT156" i="3"/>
  <c r="AU156" i="3" s="1"/>
  <c r="AO69" i="3"/>
  <c r="AT81" i="3"/>
  <c r="AU81" i="3" s="1"/>
  <c r="AP182" i="3"/>
  <c r="AP120" i="3"/>
  <c r="F255" i="3"/>
  <c r="F228" i="3"/>
  <c r="G204" i="3"/>
  <c r="H204" i="3"/>
  <c r="F97" i="3"/>
  <c r="F148" i="3"/>
  <c r="AP131" i="3"/>
  <c r="AT255" i="3"/>
  <c r="AU255" i="3" s="1"/>
  <c r="AW255" i="3" s="1"/>
  <c r="AT224" i="3"/>
  <c r="AU224" i="3" s="1"/>
  <c r="AT215" i="3"/>
  <c r="AU215" i="3" s="1"/>
  <c r="AW215" i="3" s="1"/>
  <c r="AT196" i="3"/>
  <c r="AU196" i="3" s="1"/>
  <c r="AT169" i="3"/>
  <c r="AU169" i="3" s="1"/>
  <c r="AW169" i="3" s="1"/>
  <c r="AO162" i="3"/>
  <c r="AO133" i="3"/>
  <c r="AO125" i="3"/>
  <c r="AO117" i="3"/>
  <c r="AO108" i="3"/>
  <c r="AT92" i="3"/>
  <c r="AU92" i="3" s="1"/>
  <c r="AW92" i="3" s="1"/>
  <c r="F90" i="3"/>
  <c r="AO98" i="3"/>
  <c r="AO82" i="3"/>
  <c r="F102" i="3"/>
  <c r="F68" i="3"/>
  <c r="AT233" i="3"/>
  <c r="AU233" i="3" s="1"/>
  <c r="AT171" i="3"/>
  <c r="AU171" i="3" s="1"/>
  <c r="AO100" i="3"/>
  <c r="AT84" i="3"/>
  <c r="AU84" i="3" s="1"/>
  <c r="AW84" i="3" s="1"/>
  <c r="AT75" i="3"/>
  <c r="AU75" i="3" s="1"/>
  <c r="F65" i="3"/>
  <c r="AT66" i="3"/>
  <c r="AU66" i="3" s="1"/>
  <c r="AO236" i="3"/>
  <c r="AO214" i="3"/>
  <c r="AT206" i="3"/>
  <c r="AU206" i="3" s="1"/>
  <c r="AO189" i="3"/>
  <c r="AT183" i="3"/>
  <c r="AU183" i="3" s="1"/>
  <c r="AT144" i="3"/>
  <c r="AU144" i="3" s="1"/>
  <c r="AT136" i="3"/>
  <c r="AU136" i="3" s="1"/>
  <c r="AT135" i="3"/>
  <c r="AU135" i="3" s="1"/>
  <c r="AO135" i="3"/>
  <c r="AT94" i="3"/>
  <c r="AU94" i="3" s="1"/>
  <c r="AT86" i="3"/>
  <c r="AU86" i="3" s="1"/>
  <c r="AO91" i="3"/>
  <c r="AT76" i="3"/>
  <c r="AU76" i="3" s="1"/>
  <c r="AW190" i="3" l="1"/>
  <c r="AW65" i="3"/>
  <c r="AX65" i="3" s="1"/>
  <c r="AW67" i="3"/>
  <c r="G247" i="3"/>
  <c r="G264" i="3"/>
  <c r="G92" i="3"/>
  <c r="G142" i="3"/>
  <c r="H218" i="3"/>
  <c r="X247" i="3"/>
  <c r="Z247" i="3" s="1"/>
  <c r="X264" i="3"/>
  <c r="Y264" i="3" s="1"/>
  <c r="G75" i="3"/>
  <c r="B41" i="2"/>
  <c r="C41" i="2" s="1"/>
  <c r="AW250" i="3"/>
  <c r="AY250" i="3" s="1"/>
  <c r="X250" i="3"/>
  <c r="Y250" i="3" s="1"/>
  <c r="G130" i="3"/>
  <c r="H80" i="3"/>
  <c r="G120" i="3"/>
  <c r="G125" i="3"/>
  <c r="G243" i="3"/>
  <c r="G173" i="3"/>
  <c r="G188" i="3"/>
  <c r="X95" i="3"/>
  <c r="Y95" i="3" s="1"/>
  <c r="G194" i="3"/>
  <c r="G182" i="3"/>
  <c r="X142" i="3"/>
  <c r="Z142" i="3" s="1"/>
  <c r="X87" i="3"/>
  <c r="Z87" i="3" s="1"/>
  <c r="X188" i="3"/>
  <c r="Z188" i="3" s="1"/>
  <c r="B13" i="2"/>
  <c r="C13" i="2" s="1"/>
  <c r="G179" i="3"/>
  <c r="H250" i="3"/>
  <c r="G229" i="3"/>
  <c r="H118" i="3"/>
  <c r="H81" i="3"/>
  <c r="H198" i="3"/>
  <c r="G226" i="3"/>
  <c r="G95" i="3"/>
  <c r="G244" i="3"/>
  <c r="G165" i="3"/>
  <c r="H73" i="3"/>
  <c r="H240" i="3"/>
  <c r="G248" i="3"/>
  <c r="X198" i="3"/>
  <c r="Z198" i="3" s="1"/>
  <c r="X226" i="3"/>
  <c r="Y226" i="3" s="1"/>
  <c r="X191" i="3"/>
  <c r="Z191" i="3" s="1"/>
  <c r="G106" i="3"/>
  <c r="G149" i="3"/>
  <c r="H215" i="3"/>
  <c r="X80" i="3"/>
  <c r="Z80" i="3" s="1"/>
  <c r="X125" i="3"/>
  <c r="Z125" i="3" s="1"/>
  <c r="G131" i="3"/>
  <c r="H133" i="3"/>
  <c r="H77" i="3"/>
  <c r="G184" i="3"/>
  <c r="X92" i="3"/>
  <c r="Y92" i="3" s="1"/>
  <c r="H98" i="3"/>
  <c r="G70" i="3"/>
  <c r="G193" i="3"/>
  <c r="H190" i="3"/>
  <c r="H210" i="3"/>
  <c r="X70" i="3"/>
  <c r="Y70" i="3" s="1"/>
  <c r="H127" i="3"/>
  <c r="G168" i="3"/>
  <c r="H252" i="3"/>
  <c r="G150" i="3"/>
  <c r="G132" i="3"/>
  <c r="X168" i="3"/>
  <c r="Z168" i="3" s="1"/>
  <c r="X181" i="3"/>
  <c r="Y181" i="3" s="1"/>
  <c r="X78" i="3"/>
  <c r="Y78" i="3" s="1"/>
  <c r="X209" i="3"/>
  <c r="Z209" i="3" s="1"/>
  <c r="H181" i="3"/>
  <c r="X150" i="3"/>
  <c r="Z150" i="3" s="1"/>
  <c r="X133" i="3"/>
  <c r="Z133" i="3" s="1"/>
  <c r="AW81" i="3"/>
  <c r="AZ81" i="3" s="1"/>
  <c r="AW228" i="3"/>
  <c r="AX228" i="3" s="1"/>
  <c r="AW245" i="3"/>
  <c r="AZ245" i="3" s="1"/>
  <c r="AW71" i="3"/>
  <c r="AY71" i="3" s="1"/>
  <c r="G67" i="3"/>
  <c r="G146" i="3"/>
  <c r="X235" i="3"/>
  <c r="Y235" i="3" s="1"/>
  <c r="X106" i="3"/>
  <c r="Y106" i="3" s="1"/>
  <c r="G167" i="3"/>
  <c r="G114" i="3"/>
  <c r="G126" i="3"/>
  <c r="X101" i="3"/>
  <c r="Y101" i="3" s="1"/>
  <c r="X71" i="3"/>
  <c r="Y71" i="3" s="1"/>
  <c r="X187" i="3"/>
  <c r="Z187" i="3" s="1"/>
  <c r="X146" i="3"/>
  <c r="Y146" i="3" s="1"/>
  <c r="X77" i="3"/>
  <c r="Y77" i="3" s="1"/>
  <c r="X69" i="3"/>
  <c r="Y69" i="3" s="1"/>
  <c r="AW135" i="3"/>
  <c r="AY135" i="3" s="1"/>
  <c r="G235" i="3"/>
  <c r="X114" i="3"/>
  <c r="Y114" i="3" s="1"/>
  <c r="X232" i="3"/>
  <c r="Z232" i="3" s="1"/>
  <c r="X117" i="3"/>
  <c r="Z117" i="3" s="1"/>
  <c r="X65" i="3"/>
  <c r="Z65" i="3" s="1"/>
  <c r="X68" i="3"/>
  <c r="Z68" i="3" s="1"/>
  <c r="U67" i="3"/>
  <c r="V67" i="3" s="1"/>
  <c r="AB67" i="3" s="1"/>
  <c r="U66" i="3"/>
  <c r="V66" i="3" s="1"/>
  <c r="AB66" i="3" s="1"/>
  <c r="H124" i="3"/>
  <c r="G196" i="3"/>
  <c r="H143" i="3"/>
  <c r="H147" i="3"/>
  <c r="G262" i="3"/>
  <c r="H85" i="3"/>
  <c r="G162" i="3"/>
  <c r="G164" i="3"/>
  <c r="X196" i="3"/>
  <c r="Z196" i="3" s="1"/>
  <c r="X75" i="3"/>
  <c r="Z75" i="3" s="1"/>
  <c r="X262" i="3"/>
  <c r="Y262" i="3" s="1"/>
  <c r="H121" i="3"/>
  <c r="H94" i="3"/>
  <c r="G209" i="3"/>
  <c r="H115" i="3"/>
  <c r="G256" i="3"/>
  <c r="G69" i="3"/>
  <c r="H263" i="3"/>
  <c r="AW199" i="3"/>
  <c r="AY199" i="3" s="1"/>
  <c r="AW137" i="3"/>
  <c r="AZ137" i="3" s="1"/>
  <c r="G166" i="3"/>
  <c r="G79" i="3"/>
  <c r="X164" i="3"/>
  <c r="Z164" i="3" s="1"/>
  <c r="G199" i="3"/>
  <c r="G216" i="3"/>
  <c r="G123" i="3"/>
  <c r="G83" i="3"/>
  <c r="G251" i="3"/>
  <c r="H101" i="3"/>
  <c r="H170" i="3"/>
  <c r="AX80" i="3"/>
  <c r="G122" i="3"/>
  <c r="G66" i="3"/>
  <c r="H187" i="3"/>
  <c r="X85" i="3"/>
  <c r="Z85" i="3" s="1"/>
  <c r="AW119" i="3"/>
  <c r="AY119" i="3" s="1"/>
  <c r="AW188" i="3"/>
  <c r="AY188" i="3" s="1"/>
  <c r="N203" i="3"/>
  <c r="O203" i="3" s="1"/>
  <c r="P203" i="3" s="1"/>
  <c r="AW136" i="3"/>
  <c r="AX136" i="3" s="1"/>
  <c r="AW97" i="3"/>
  <c r="AX97" i="3" s="1"/>
  <c r="B32" i="2"/>
  <c r="C32" i="2" s="1"/>
  <c r="G141" i="3"/>
  <c r="H232" i="3"/>
  <c r="X103" i="3"/>
  <c r="Y103" i="3" s="1"/>
  <c r="H84" i="3"/>
  <c r="G134" i="3"/>
  <c r="H104" i="3"/>
  <c r="H103" i="3"/>
  <c r="H237" i="3"/>
  <c r="H220" i="3"/>
  <c r="H113" i="3"/>
  <c r="H78" i="3"/>
  <c r="G117" i="3"/>
  <c r="H180" i="3"/>
  <c r="X199" i="3"/>
  <c r="Y199" i="3" s="1"/>
  <c r="AW176" i="3"/>
  <c r="AX176" i="3" s="1"/>
  <c r="AW86" i="3"/>
  <c r="AX86" i="3" s="1"/>
  <c r="AW214" i="3"/>
  <c r="AY214" i="3" s="1"/>
  <c r="G71" i="3"/>
  <c r="G116" i="3"/>
  <c r="X215" i="3"/>
  <c r="Z215" i="3" s="1"/>
  <c r="X122" i="3"/>
  <c r="Y122" i="3" s="1"/>
  <c r="H234" i="3"/>
  <c r="G261" i="3"/>
  <c r="X165" i="3"/>
  <c r="Z165" i="3" s="1"/>
  <c r="X261" i="3"/>
  <c r="Z261" i="3" s="1"/>
  <c r="H253" i="3"/>
  <c r="G93" i="3"/>
  <c r="G241" i="3"/>
  <c r="H203" i="3"/>
  <c r="X104" i="3"/>
  <c r="Z104" i="3" s="1"/>
  <c r="H136" i="3"/>
  <c r="X241" i="3"/>
  <c r="Z241" i="3" s="1"/>
  <c r="N263" i="3"/>
  <c r="O263" i="3" s="1"/>
  <c r="P263" i="3" s="1"/>
  <c r="X263" i="3" s="1"/>
  <c r="Z263" i="3" s="1"/>
  <c r="B25" i="2"/>
  <c r="C25" i="2" s="1"/>
  <c r="B15" i="2"/>
  <c r="C15" i="2" s="1"/>
  <c r="B17" i="2"/>
  <c r="C17" i="2" s="1"/>
  <c r="B31" i="2"/>
  <c r="C31" i="2" s="1"/>
  <c r="B19" i="2"/>
  <c r="C19" i="2" s="1"/>
  <c r="T99" i="3"/>
  <c r="U99" i="3" s="1"/>
  <c r="V99" i="3" s="1"/>
  <c r="AB99" i="3" s="1"/>
  <c r="AD99" i="3" s="1"/>
  <c r="B21" i="2"/>
  <c r="C21" i="2" s="1"/>
  <c r="B40" i="2"/>
  <c r="C40" i="2" s="1"/>
  <c r="B34" i="2"/>
  <c r="C34" i="2" s="1"/>
  <c r="B14" i="2"/>
  <c r="C14" i="2" s="1"/>
  <c r="B36" i="2"/>
  <c r="C36" i="2" s="1"/>
  <c r="B28" i="2"/>
  <c r="C28" i="2" s="1"/>
  <c r="Q69" i="2"/>
  <c r="B27" i="2"/>
  <c r="C27" i="2" s="1"/>
  <c r="B22" i="2"/>
  <c r="C22" i="2" s="1"/>
  <c r="B29" i="2"/>
  <c r="C29" i="2" s="1"/>
  <c r="T117" i="3"/>
  <c r="U117" i="3" s="1"/>
  <c r="V117" i="3" s="1"/>
  <c r="AB117" i="3" s="1"/>
  <c r="B26" i="2"/>
  <c r="C26" i="2" s="1"/>
  <c r="B95" i="1"/>
  <c r="B41" i="1" s="1"/>
  <c r="N66" i="3"/>
  <c r="O66" i="3" s="1"/>
  <c r="P66" i="3" s="1"/>
  <c r="X66" i="3" s="1"/>
  <c r="B23" i="2"/>
  <c r="C23" i="2" s="1"/>
  <c r="T232" i="3"/>
  <c r="U232" i="3" s="1"/>
  <c r="V232" i="3" s="1"/>
  <c r="AB232" i="3" s="1"/>
  <c r="AD232" i="3" s="1"/>
  <c r="B30" i="2"/>
  <c r="C30" i="2" s="1"/>
  <c r="T214" i="3"/>
  <c r="U214" i="3" s="1"/>
  <c r="V214" i="3" s="1"/>
  <c r="AB214" i="3" s="1"/>
  <c r="AC214" i="3" s="1"/>
  <c r="N162" i="3"/>
  <c r="O162" i="3" s="1"/>
  <c r="P162" i="3" s="1"/>
  <c r="X162" i="3" s="1"/>
  <c r="AF162" i="3" s="1"/>
  <c r="N256" i="3"/>
  <c r="O256" i="3" s="1"/>
  <c r="P256" i="3" s="1"/>
  <c r="X256" i="3" s="1"/>
  <c r="Y256" i="3" s="1"/>
  <c r="T109" i="3"/>
  <c r="U109" i="3" s="1"/>
  <c r="V109" i="3" s="1"/>
  <c r="AB109" i="3" s="1"/>
  <c r="AC109" i="3" s="1"/>
  <c r="B38" i="2"/>
  <c r="C38" i="2" s="1"/>
  <c r="B37" i="2"/>
  <c r="C37" i="2" s="1"/>
  <c r="Q70" i="2"/>
  <c r="Q71" i="2"/>
  <c r="B35" i="2"/>
  <c r="C35" i="2" s="1"/>
  <c r="B16" i="2"/>
  <c r="C16" i="2" s="1"/>
  <c r="B20" i="2"/>
  <c r="C20" i="2" s="1"/>
  <c r="B24" i="2"/>
  <c r="C24" i="2" s="1"/>
  <c r="B18" i="2"/>
  <c r="C18" i="2" s="1"/>
  <c r="B33" i="2"/>
  <c r="C33" i="2" s="1"/>
  <c r="Q68" i="2"/>
  <c r="B39" i="2"/>
  <c r="C39" i="2" s="1"/>
  <c r="N179" i="3"/>
  <c r="O179" i="3" s="1"/>
  <c r="P179" i="3" s="1"/>
  <c r="X179" i="3" s="1"/>
  <c r="Y179" i="3" s="1"/>
  <c r="N202" i="3"/>
  <c r="O202" i="3" s="1"/>
  <c r="P202" i="3" s="1"/>
  <c r="X202" i="3" s="1"/>
  <c r="AF202" i="3" s="1"/>
  <c r="T122" i="3"/>
  <c r="U122" i="3" s="1"/>
  <c r="V122" i="3" s="1"/>
  <c r="AB122" i="3" s="1"/>
  <c r="AC122" i="3" s="1"/>
  <c r="N248" i="3"/>
  <c r="O248" i="3" s="1"/>
  <c r="P248" i="3" s="1"/>
  <c r="X248" i="3" s="1"/>
  <c r="Z248" i="3" s="1"/>
  <c r="N110" i="3"/>
  <c r="O110" i="3" s="1"/>
  <c r="P110" i="3" s="1"/>
  <c r="X110" i="3" s="1"/>
  <c r="Y110" i="3" s="1"/>
  <c r="T74" i="3"/>
  <c r="U74" i="3" s="1"/>
  <c r="V74" i="3" s="1"/>
  <c r="AB74" i="3" s="1"/>
  <c r="AC74" i="3" s="1"/>
  <c r="T182" i="3"/>
  <c r="U182" i="3" s="1"/>
  <c r="V182" i="3" s="1"/>
  <c r="AB182" i="3" s="1"/>
  <c r="AC182" i="3" s="1"/>
  <c r="N237" i="3"/>
  <c r="O237" i="3" s="1"/>
  <c r="P237" i="3" s="1"/>
  <c r="X237" i="3" s="1"/>
  <c r="AF237" i="3" s="1"/>
  <c r="T65" i="3"/>
  <c r="N79" i="3"/>
  <c r="O79" i="3" s="1"/>
  <c r="P79" i="3" s="1"/>
  <c r="X79" i="3" s="1"/>
  <c r="AF79" i="3" s="1"/>
  <c r="N141" i="3"/>
  <c r="O141" i="3" s="1"/>
  <c r="P141" i="3" s="1"/>
  <c r="X141" i="3" s="1"/>
  <c r="AF141" i="3" s="1"/>
  <c r="T135" i="3"/>
  <c r="U135" i="3" s="1"/>
  <c r="V135" i="3" s="1"/>
  <c r="AB135" i="3" s="1"/>
  <c r="AC135" i="3" s="1"/>
  <c r="T78" i="3"/>
  <c r="U78" i="3" s="1"/>
  <c r="V78" i="3" s="1"/>
  <c r="AB78" i="3" s="1"/>
  <c r="T82" i="3"/>
  <c r="U82" i="3" s="1"/>
  <c r="V82" i="3" s="1"/>
  <c r="AB82" i="3" s="1"/>
  <c r="AD82" i="3" s="1"/>
  <c r="N207" i="3"/>
  <c r="O207" i="3" s="1"/>
  <c r="P207" i="3" s="1"/>
  <c r="X207" i="3" s="1"/>
  <c r="Y207" i="3" s="1"/>
  <c r="T148" i="3"/>
  <c r="U148" i="3" s="1"/>
  <c r="V148" i="3" s="1"/>
  <c r="AB148" i="3" s="1"/>
  <c r="AD148" i="3" s="1"/>
  <c r="T102" i="3"/>
  <c r="U102" i="3" s="1"/>
  <c r="V102" i="3" s="1"/>
  <c r="AB102" i="3" s="1"/>
  <c r="AC102" i="3" s="1"/>
  <c r="T247" i="3"/>
  <c r="U247" i="3" s="1"/>
  <c r="V247" i="3" s="1"/>
  <c r="AB247" i="3" s="1"/>
  <c r="AF247" i="3" s="1"/>
  <c r="N73" i="3"/>
  <c r="O73" i="3" s="1"/>
  <c r="P73" i="3" s="1"/>
  <c r="X73" i="3" s="1"/>
  <c r="Z73" i="3" s="1"/>
  <c r="T136" i="3"/>
  <c r="U136" i="3" s="1"/>
  <c r="V136" i="3" s="1"/>
  <c r="AB136" i="3" s="1"/>
  <c r="AD136" i="3" s="1"/>
  <c r="T168" i="3"/>
  <c r="U168" i="3" s="1"/>
  <c r="V168" i="3" s="1"/>
  <c r="AB168" i="3" s="1"/>
  <c r="AC168" i="3" s="1"/>
  <c r="T158" i="3"/>
  <c r="U158" i="3" s="1"/>
  <c r="V158" i="3" s="1"/>
  <c r="AB158" i="3" s="1"/>
  <c r="AD158" i="3" s="1"/>
  <c r="T191" i="3"/>
  <c r="U191" i="3" s="1"/>
  <c r="V191" i="3" s="1"/>
  <c r="AB191" i="3" s="1"/>
  <c r="AC191" i="3" s="1"/>
  <c r="N238" i="3"/>
  <c r="O238" i="3" s="1"/>
  <c r="P238" i="3" s="1"/>
  <c r="X238" i="3" s="1"/>
  <c r="Z238" i="3" s="1"/>
  <c r="N177" i="3"/>
  <c r="O177" i="3" s="1"/>
  <c r="P177" i="3" s="1"/>
  <c r="X177" i="3" s="1"/>
  <c r="AF177" i="3" s="1"/>
  <c r="T77" i="3"/>
  <c r="U77" i="3" s="1"/>
  <c r="V77" i="3" s="1"/>
  <c r="AB77" i="3" s="1"/>
  <c r="AC77" i="3" s="1"/>
  <c r="N260" i="3"/>
  <c r="O260" i="3" s="1"/>
  <c r="P260" i="3" s="1"/>
  <c r="X260" i="3" s="1"/>
  <c r="N192" i="3"/>
  <c r="O192" i="3" s="1"/>
  <c r="P192" i="3" s="1"/>
  <c r="X192" i="3" s="1"/>
  <c r="Y192" i="3" s="1"/>
  <c r="N225" i="3"/>
  <c r="O225" i="3" s="1"/>
  <c r="P225" i="3" s="1"/>
  <c r="X225" i="3" s="1"/>
  <c r="N174" i="3"/>
  <c r="O174" i="3" s="1"/>
  <c r="P174" i="3" s="1"/>
  <c r="X174" i="3" s="1"/>
  <c r="Y174" i="3" s="1"/>
  <c r="N204" i="3"/>
  <c r="O204" i="3" s="1"/>
  <c r="P204" i="3" s="1"/>
  <c r="X204" i="3" s="1"/>
  <c r="Z204" i="3" s="1"/>
  <c r="N138" i="3"/>
  <c r="O138" i="3" s="1"/>
  <c r="P138" i="3" s="1"/>
  <c r="X138" i="3" s="1"/>
  <c r="T152" i="3"/>
  <c r="U152" i="3" s="1"/>
  <c r="V152" i="3" s="1"/>
  <c r="AB152" i="3" s="1"/>
  <c r="AD152" i="3" s="1"/>
  <c r="N151" i="3"/>
  <c r="O151" i="3" s="1"/>
  <c r="P151" i="3" s="1"/>
  <c r="X151" i="3" s="1"/>
  <c r="AF151" i="3" s="1"/>
  <c r="N126" i="3"/>
  <c r="O126" i="3" s="1"/>
  <c r="P126" i="3" s="1"/>
  <c r="X126" i="3" s="1"/>
  <c r="AF126" i="3" s="1"/>
  <c r="N163" i="3"/>
  <c r="O163" i="3" s="1"/>
  <c r="P163" i="3" s="1"/>
  <c r="X163" i="3" s="1"/>
  <c r="Y163" i="3" s="1"/>
  <c r="T71" i="3"/>
  <c r="U71" i="3" s="1"/>
  <c r="V71" i="3" s="1"/>
  <c r="AB71" i="3" s="1"/>
  <c r="T195" i="3"/>
  <c r="U195" i="3" s="1"/>
  <c r="V195" i="3" s="1"/>
  <c r="AB195" i="3" s="1"/>
  <c r="AD195" i="3" s="1"/>
  <c r="N90" i="3"/>
  <c r="O90" i="3" s="1"/>
  <c r="P90" i="3" s="1"/>
  <c r="X90" i="3" s="1"/>
  <c r="N132" i="3"/>
  <c r="O132" i="3" s="1"/>
  <c r="P132" i="3" s="1"/>
  <c r="X132" i="3" s="1"/>
  <c r="Z132" i="3" s="1"/>
  <c r="T160" i="3"/>
  <c r="U160" i="3" s="1"/>
  <c r="V160" i="3" s="1"/>
  <c r="AB160" i="3" s="1"/>
  <c r="AD160" i="3" s="1"/>
  <c r="N94" i="3"/>
  <c r="O94" i="3" s="1"/>
  <c r="P94" i="3" s="1"/>
  <c r="X94" i="3" s="1"/>
  <c r="AF94" i="3" s="1"/>
  <c r="T119" i="3"/>
  <c r="U119" i="3" s="1"/>
  <c r="V119" i="3" s="1"/>
  <c r="AB119" i="3" s="1"/>
  <c r="AD119" i="3" s="1"/>
  <c r="T157" i="3"/>
  <c r="U157" i="3" s="1"/>
  <c r="V157" i="3" s="1"/>
  <c r="AB157" i="3" s="1"/>
  <c r="AC157" i="3" s="1"/>
  <c r="N245" i="3"/>
  <c r="O245" i="3" s="1"/>
  <c r="P245" i="3" s="1"/>
  <c r="X245" i="3" s="1"/>
  <c r="AF245" i="3" s="1"/>
  <c r="N154" i="3"/>
  <c r="O154" i="3" s="1"/>
  <c r="P154" i="3" s="1"/>
  <c r="X154" i="3" s="1"/>
  <c r="Z154" i="3" s="1"/>
  <c r="N233" i="3"/>
  <c r="O233" i="3" s="1"/>
  <c r="P233" i="3" s="1"/>
  <c r="X233" i="3" s="1"/>
  <c r="AF233" i="3" s="1"/>
  <c r="N120" i="3"/>
  <c r="O120" i="3" s="1"/>
  <c r="P120" i="3" s="1"/>
  <c r="X120" i="3" s="1"/>
  <c r="Y120" i="3" s="1"/>
  <c r="N83" i="3"/>
  <c r="O83" i="3" s="1"/>
  <c r="P83" i="3" s="1"/>
  <c r="X83" i="3" s="1"/>
  <c r="Y83" i="3" s="1"/>
  <c r="T130" i="3"/>
  <c r="U130" i="3" s="1"/>
  <c r="V130" i="3" s="1"/>
  <c r="AB130" i="3" s="1"/>
  <c r="AC130" i="3" s="1"/>
  <c r="N197" i="3"/>
  <c r="O197" i="3" s="1"/>
  <c r="P197" i="3" s="1"/>
  <c r="X197" i="3" s="1"/>
  <c r="N184" i="3"/>
  <c r="O184" i="3" s="1"/>
  <c r="P184" i="3" s="1"/>
  <c r="X184" i="3" s="1"/>
  <c r="AF184" i="3" s="1"/>
  <c r="T89" i="3"/>
  <c r="U89" i="3" s="1"/>
  <c r="V89" i="3" s="1"/>
  <c r="AB89" i="3" s="1"/>
  <c r="AC89" i="3" s="1"/>
  <c r="T200" i="3"/>
  <c r="U200" i="3" s="1"/>
  <c r="V200" i="3" s="1"/>
  <c r="AB200" i="3" s="1"/>
  <c r="AC200" i="3" s="1"/>
  <c r="T133" i="3"/>
  <c r="U133" i="3" s="1"/>
  <c r="V133" i="3" s="1"/>
  <c r="AB133" i="3" s="1"/>
  <c r="AD133" i="3" s="1"/>
  <c r="N64" i="3"/>
  <c r="O64" i="3" s="1"/>
  <c r="P64" i="3" s="1"/>
  <c r="X64" i="3" s="1"/>
  <c r="T206" i="3"/>
  <c r="U206" i="3" s="1"/>
  <c r="V206" i="3" s="1"/>
  <c r="AB206" i="3" s="1"/>
  <c r="AD206" i="3" s="1"/>
  <c r="N91" i="3"/>
  <c r="O91" i="3" s="1"/>
  <c r="P91" i="3" s="1"/>
  <c r="X91" i="3" s="1"/>
  <c r="Z91" i="3" s="1"/>
  <c r="T156" i="3"/>
  <c r="U156" i="3" s="1"/>
  <c r="V156" i="3" s="1"/>
  <c r="AB156" i="3" s="1"/>
  <c r="AC156" i="3" s="1"/>
  <c r="T185" i="3"/>
  <c r="U185" i="3" s="1"/>
  <c r="V185" i="3" s="1"/>
  <c r="AB185" i="3" s="1"/>
  <c r="AC185" i="3" s="1"/>
  <c r="N115" i="3"/>
  <c r="O115" i="3" s="1"/>
  <c r="P115" i="3" s="1"/>
  <c r="X115" i="3" s="1"/>
  <c r="Y115" i="3" s="1"/>
  <c r="T229" i="3"/>
  <c r="U229" i="3" s="1"/>
  <c r="V229" i="3" s="1"/>
  <c r="AB229" i="3" s="1"/>
  <c r="AD229" i="3" s="1"/>
  <c r="N118" i="3"/>
  <c r="O118" i="3" s="1"/>
  <c r="P118" i="3" s="1"/>
  <c r="X118" i="3" s="1"/>
  <c r="Y118" i="3" s="1"/>
  <c r="T255" i="3"/>
  <c r="U255" i="3" s="1"/>
  <c r="V255" i="3" s="1"/>
  <c r="AB255" i="3" s="1"/>
  <c r="AC255" i="3" s="1"/>
  <c r="T144" i="3"/>
  <c r="U144" i="3" s="1"/>
  <c r="V144" i="3" s="1"/>
  <c r="AB144" i="3" s="1"/>
  <c r="AC144" i="3" s="1"/>
  <c r="N76" i="3"/>
  <c r="O76" i="3" s="1"/>
  <c r="P76" i="3" s="1"/>
  <c r="X76" i="3" s="1"/>
  <c r="Y76" i="3" s="1"/>
  <c r="N67" i="3"/>
  <c r="O67" i="3" s="1"/>
  <c r="P67" i="3" s="1"/>
  <c r="X67" i="3" s="1"/>
  <c r="T69" i="3"/>
  <c r="U69" i="3" s="1"/>
  <c r="V69" i="3" s="1"/>
  <c r="AB69" i="3" s="1"/>
  <c r="AC69" i="3" s="1"/>
  <c r="T175" i="3"/>
  <c r="U175" i="3" s="1"/>
  <c r="V175" i="3" s="1"/>
  <c r="AB175" i="3" s="1"/>
  <c r="AC175" i="3" s="1"/>
  <c r="T241" i="3"/>
  <c r="U241" i="3" s="1"/>
  <c r="V241" i="3" s="1"/>
  <c r="AB241" i="3" s="1"/>
  <c r="AC241" i="3" s="1"/>
  <c r="T125" i="3"/>
  <c r="U125" i="3" s="1"/>
  <c r="V125" i="3" s="1"/>
  <c r="AB125" i="3" s="1"/>
  <c r="AD125" i="3" s="1"/>
  <c r="N98" i="3"/>
  <c r="O98" i="3" s="1"/>
  <c r="P98" i="3" s="1"/>
  <c r="X98" i="3" s="1"/>
  <c r="Y98" i="3" s="1"/>
  <c r="T246" i="3"/>
  <c r="U246" i="3" s="1"/>
  <c r="V246" i="3" s="1"/>
  <c r="AZ246" i="3" s="1"/>
  <c r="T240" i="3"/>
  <c r="U240" i="3" s="1"/>
  <c r="V240" i="3" s="1"/>
  <c r="AB240" i="3" s="1"/>
  <c r="AC240" i="3" s="1"/>
  <c r="N147" i="3"/>
  <c r="O147" i="3" s="1"/>
  <c r="P147" i="3" s="1"/>
  <c r="X147" i="3" s="1"/>
  <c r="AF147" i="3" s="1"/>
  <c r="AG147" i="3" s="1"/>
  <c r="N254" i="3"/>
  <c r="O254" i="3" s="1"/>
  <c r="P254" i="3" s="1"/>
  <c r="X254" i="3" s="1"/>
  <c r="Z254" i="3" s="1"/>
  <c r="N127" i="3"/>
  <c r="O127" i="3" s="1"/>
  <c r="P127" i="3" s="1"/>
  <c r="X127" i="3" s="1"/>
  <c r="Z127" i="3" s="1"/>
  <c r="N137" i="3"/>
  <c r="O137" i="3" s="1"/>
  <c r="P137" i="3" s="1"/>
  <c r="X137" i="3" s="1"/>
  <c r="Y137" i="3" s="1"/>
  <c r="N149" i="3"/>
  <c r="O149" i="3" s="1"/>
  <c r="P149" i="3" s="1"/>
  <c r="X149" i="3" s="1"/>
  <c r="Z149" i="3" s="1"/>
  <c r="T106" i="3"/>
  <c r="U106" i="3" s="1"/>
  <c r="V106" i="3" s="1"/>
  <c r="AB106" i="3" s="1"/>
  <c r="AD106" i="3" s="1"/>
  <c r="N242" i="3"/>
  <c r="O242" i="3" s="1"/>
  <c r="P242" i="3" s="1"/>
  <c r="X242" i="3" s="1"/>
  <c r="T165" i="3"/>
  <c r="U165" i="3" s="1"/>
  <c r="V165" i="3" s="1"/>
  <c r="AB165" i="3" s="1"/>
  <c r="AC165" i="3" s="1"/>
  <c r="N143" i="3"/>
  <c r="O143" i="3" s="1"/>
  <c r="P143" i="3" s="1"/>
  <c r="X143" i="3" s="1"/>
  <c r="AF143" i="3" s="1"/>
  <c r="T201" i="3"/>
  <c r="U201" i="3" s="1"/>
  <c r="V201" i="3" s="1"/>
  <c r="AB201" i="3" s="1"/>
  <c r="AD201" i="3" s="1"/>
  <c r="N93" i="3"/>
  <c r="O93" i="3" s="1"/>
  <c r="P93" i="3" s="1"/>
  <c r="X93" i="3" s="1"/>
  <c r="Z93" i="3" s="1"/>
  <c r="N249" i="3"/>
  <c r="O249" i="3" s="1"/>
  <c r="P249" i="3" s="1"/>
  <c r="X249" i="3" s="1"/>
  <c r="Y249" i="3" s="1"/>
  <c r="N224" i="3"/>
  <c r="O224" i="3" s="1"/>
  <c r="P224" i="3" s="1"/>
  <c r="X224" i="3" s="1"/>
  <c r="Y224" i="3" s="1"/>
  <c r="T105" i="3"/>
  <c r="U105" i="3" s="1"/>
  <c r="V105" i="3" s="1"/>
  <c r="AB105" i="3" s="1"/>
  <c r="AC105" i="3" s="1"/>
  <c r="N231" i="3"/>
  <c r="O231" i="3" s="1"/>
  <c r="P231" i="3" s="1"/>
  <c r="X231" i="3" s="1"/>
  <c r="Z231" i="3" s="1"/>
  <c r="T222" i="3"/>
  <c r="U222" i="3" s="1"/>
  <c r="V222" i="3" s="1"/>
  <c r="AB222" i="3" s="1"/>
  <c r="AC222" i="3" s="1"/>
  <c r="N116" i="3"/>
  <c r="O116" i="3" s="1"/>
  <c r="P116" i="3" s="1"/>
  <c r="X116" i="3" s="1"/>
  <c r="AF116" i="3" s="1"/>
  <c r="N236" i="3"/>
  <c r="O236" i="3" s="1"/>
  <c r="P236" i="3" s="1"/>
  <c r="X236" i="3" s="1"/>
  <c r="Y236" i="3" s="1"/>
  <c r="N211" i="3"/>
  <c r="O211" i="3" s="1"/>
  <c r="P211" i="3" s="1"/>
  <c r="X211" i="3" s="1"/>
  <c r="Z211" i="3" s="1"/>
  <c r="T209" i="3"/>
  <c r="U209" i="3" s="1"/>
  <c r="V209" i="3" s="1"/>
  <c r="AB209" i="3" s="1"/>
  <c r="AC209" i="3" s="1"/>
  <c r="T103" i="3"/>
  <c r="U103" i="3" s="1"/>
  <c r="V103" i="3" s="1"/>
  <c r="AB103" i="3" s="1"/>
  <c r="AF103" i="3" s="1"/>
  <c r="AH103" i="3" s="1"/>
  <c r="T112" i="3"/>
  <c r="U112" i="3" s="1"/>
  <c r="V112" i="3" s="1"/>
  <c r="AB112" i="3" s="1"/>
  <c r="AC112" i="3" s="1"/>
  <c r="N212" i="3"/>
  <c r="O212" i="3" s="1"/>
  <c r="P212" i="3" s="1"/>
  <c r="X212" i="3" s="1"/>
  <c r="Z212" i="3" s="1"/>
  <c r="T215" i="3"/>
  <c r="U215" i="3" s="1"/>
  <c r="V215" i="3" s="1"/>
  <c r="AB215" i="3" s="1"/>
  <c r="AD215" i="3" s="1"/>
  <c r="T139" i="3"/>
  <c r="U139" i="3" s="1"/>
  <c r="V139" i="3" s="1"/>
  <c r="AB139" i="3" s="1"/>
  <c r="AC139" i="3" s="1"/>
  <c r="N243" i="3"/>
  <c r="O243" i="3" s="1"/>
  <c r="P243" i="3" s="1"/>
  <c r="X243" i="3" s="1"/>
  <c r="Z243" i="3" s="1"/>
  <c r="N97" i="3"/>
  <c r="O97" i="3" s="1"/>
  <c r="P97" i="3" s="1"/>
  <c r="X97" i="3" s="1"/>
  <c r="T181" i="3"/>
  <c r="U181" i="3" s="1"/>
  <c r="V181" i="3" s="1"/>
  <c r="AB181" i="3" s="1"/>
  <c r="AD181" i="3" s="1"/>
  <c r="T250" i="3"/>
  <c r="U250" i="3" s="1"/>
  <c r="V250" i="3" s="1"/>
  <c r="AB250" i="3" s="1"/>
  <c r="AD250" i="3" s="1"/>
  <c r="T164" i="3"/>
  <c r="U164" i="3" s="1"/>
  <c r="V164" i="3" s="1"/>
  <c r="AB164" i="3" s="1"/>
  <c r="AD164" i="3" s="1"/>
  <c r="N251" i="3"/>
  <c r="O251" i="3" s="1"/>
  <c r="P251" i="3" s="1"/>
  <c r="X251" i="3" s="1"/>
  <c r="Y251" i="3" s="1"/>
  <c r="N153" i="3"/>
  <c r="O153" i="3" s="1"/>
  <c r="P153" i="3" s="1"/>
  <c r="X153" i="3" s="1"/>
  <c r="Y153" i="3" s="1"/>
  <c r="N244" i="3"/>
  <c r="O244" i="3" s="1"/>
  <c r="P244" i="3" s="1"/>
  <c r="X244" i="3" s="1"/>
  <c r="Z244" i="3" s="1"/>
  <c r="N194" i="3"/>
  <c r="O194" i="3" s="1"/>
  <c r="P194" i="3" s="1"/>
  <c r="X194" i="3" s="1"/>
  <c r="Z194" i="3" s="1"/>
  <c r="N124" i="3"/>
  <c r="O124" i="3" s="1"/>
  <c r="P124" i="3" s="1"/>
  <c r="X124" i="3" s="1"/>
  <c r="Z124" i="3" s="1"/>
  <c r="N111" i="3"/>
  <c r="O111" i="3" s="1"/>
  <c r="P111" i="3" s="1"/>
  <c r="X111" i="3" s="1"/>
  <c r="Y111" i="3" s="1"/>
  <c r="T70" i="3"/>
  <c r="U70" i="3" s="1"/>
  <c r="V70" i="3" s="1"/>
  <c r="AB70" i="3" s="1"/>
  <c r="AD70" i="3" s="1"/>
  <c r="N81" i="3"/>
  <c r="O81" i="3" s="1"/>
  <c r="P81" i="3" s="1"/>
  <c r="X81" i="3" s="1"/>
  <c r="Z81" i="3" s="1"/>
  <c r="N140" i="3"/>
  <c r="O140" i="3" s="1"/>
  <c r="P140" i="3" s="1"/>
  <c r="X140" i="3" s="1"/>
  <c r="Z140" i="3" s="1"/>
  <c r="T68" i="3"/>
  <c r="N176" i="3"/>
  <c r="O176" i="3" s="1"/>
  <c r="P176" i="3" s="1"/>
  <c r="X176" i="3" s="1"/>
  <c r="T235" i="3"/>
  <c r="U235" i="3" s="1"/>
  <c r="V235" i="3" s="1"/>
  <c r="AB235" i="3" s="1"/>
  <c r="AC235" i="3" s="1"/>
  <c r="T146" i="3"/>
  <c r="U146" i="3" s="1"/>
  <c r="V146" i="3" s="1"/>
  <c r="AB146" i="3" s="1"/>
  <c r="AD146" i="3" s="1"/>
  <c r="T259" i="3"/>
  <c r="U259" i="3" s="1"/>
  <c r="V259" i="3" s="1"/>
  <c r="AB259" i="3" s="1"/>
  <c r="AC259" i="3" s="1"/>
  <c r="T129" i="3"/>
  <c r="U129" i="3" s="1"/>
  <c r="V129" i="3" s="1"/>
  <c r="AB129" i="3" s="1"/>
  <c r="AD129" i="3" s="1"/>
  <c r="N161" i="3"/>
  <c r="O161" i="3" s="1"/>
  <c r="P161" i="3" s="1"/>
  <c r="X161" i="3" s="1"/>
  <c r="AF161" i="3" s="1"/>
  <c r="T104" i="3"/>
  <c r="U104" i="3" s="1"/>
  <c r="V104" i="3" s="1"/>
  <c r="AB104" i="3" s="1"/>
  <c r="AC104" i="3" s="1"/>
  <c r="N193" i="3"/>
  <c r="O193" i="3" s="1"/>
  <c r="P193" i="3" s="1"/>
  <c r="X193" i="3" s="1"/>
  <c r="Y193" i="3" s="1"/>
  <c r="N159" i="3"/>
  <c r="O159" i="3" s="1"/>
  <c r="P159" i="3" s="1"/>
  <c r="X159" i="3" s="1"/>
  <c r="Y159" i="3" s="1"/>
  <c r="T239" i="3"/>
  <c r="U239" i="3" s="1"/>
  <c r="V239" i="3" s="1"/>
  <c r="AB239" i="3" s="1"/>
  <c r="AC239" i="3" s="1"/>
  <c r="T219" i="3"/>
  <c r="U219" i="3" s="1"/>
  <c r="V219" i="3" s="1"/>
  <c r="AB219" i="3" s="1"/>
  <c r="AC219" i="3" s="1"/>
  <c r="T100" i="3"/>
  <c r="U100" i="3" s="1"/>
  <c r="V100" i="3" s="1"/>
  <c r="AB100" i="3" s="1"/>
  <c r="AD100" i="3" s="1"/>
  <c r="T196" i="3"/>
  <c r="U196" i="3" s="1"/>
  <c r="V196" i="3" s="1"/>
  <c r="AB196" i="3" s="1"/>
  <c r="AC196" i="3" s="1"/>
  <c r="T258" i="3"/>
  <c r="U258" i="3" s="1"/>
  <c r="V258" i="3" s="1"/>
  <c r="AB258" i="3" s="1"/>
  <c r="AD258" i="3" s="1"/>
  <c r="N121" i="3"/>
  <c r="O121" i="3" s="1"/>
  <c r="P121" i="3" s="1"/>
  <c r="X121" i="3" s="1"/>
  <c r="Z121" i="3" s="1"/>
  <c r="T75" i="3"/>
  <c r="U75" i="3" s="1"/>
  <c r="V75" i="3" s="1"/>
  <c r="AB75" i="3" s="1"/>
  <c r="N178" i="3"/>
  <c r="O178" i="3" s="1"/>
  <c r="P178" i="3" s="1"/>
  <c r="X178" i="3" s="1"/>
  <c r="AF178" i="3" s="1"/>
  <c r="N213" i="3"/>
  <c r="O213" i="3" s="1"/>
  <c r="P213" i="3" s="1"/>
  <c r="X213" i="3" s="1"/>
  <c r="Y213" i="3" s="1"/>
  <c r="N252" i="3"/>
  <c r="O252" i="3" s="1"/>
  <c r="P252" i="3" s="1"/>
  <c r="X252" i="3" s="1"/>
  <c r="Y252" i="3" s="1"/>
  <c r="T187" i="3"/>
  <c r="U187" i="3" s="1"/>
  <c r="V187" i="3" s="1"/>
  <c r="AB187" i="3" s="1"/>
  <c r="AC187" i="3" s="1"/>
  <c r="T72" i="3"/>
  <c r="U72" i="3" s="1"/>
  <c r="V72" i="3" s="1"/>
  <c r="AB72" i="3" s="1"/>
  <c r="AD72" i="3" s="1"/>
  <c r="T217" i="3"/>
  <c r="U217" i="3" s="1"/>
  <c r="V217" i="3" s="1"/>
  <c r="AB217" i="3" s="1"/>
  <c r="AD217" i="3" s="1"/>
  <c r="T150" i="3"/>
  <c r="U150" i="3" s="1"/>
  <c r="V150" i="3" s="1"/>
  <c r="AB150" i="3" s="1"/>
  <c r="AC150" i="3" s="1"/>
  <c r="N220" i="3"/>
  <c r="O220" i="3" s="1"/>
  <c r="P220" i="3" s="1"/>
  <c r="X220" i="3" s="1"/>
  <c r="Y220" i="3" s="1"/>
  <c r="N189" i="3"/>
  <c r="O189" i="3" s="1"/>
  <c r="P189" i="3" s="1"/>
  <c r="X189" i="3" s="1"/>
  <c r="Z189" i="3" s="1"/>
  <c r="T264" i="3"/>
  <c r="U264" i="3" s="1"/>
  <c r="V264" i="3" s="1"/>
  <c r="AB264" i="3" s="1"/>
  <c r="AC264" i="3" s="1"/>
  <c r="T198" i="3"/>
  <c r="U198" i="3" s="1"/>
  <c r="V198" i="3" s="1"/>
  <c r="AB198" i="3" s="1"/>
  <c r="AC198" i="3" s="1"/>
  <c r="T228" i="3"/>
  <c r="U228" i="3" s="1"/>
  <c r="V228" i="3" s="1"/>
  <c r="AB228" i="3" s="1"/>
  <c r="AC228" i="3" s="1"/>
  <c r="AW264" i="3"/>
  <c r="AY264" i="3" s="1"/>
  <c r="T262" i="3"/>
  <c r="U262" i="3" s="1"/>
  <c r="V262" i="3" s="1"/>
  <c r="AB262" i="3" s="1"/>
  <c r="AD262" i="3" s="1"/>
  <c r="T87" i="3"/>
  <c r="U87" i="3" s="1"/>
  <c r="V87" i="3" s="1"/>
  <c r="AB87" i="3" s="1"/>
  <c r="T101" i="3"/>
  <c r="U101" i="3" s="1"/>
  <c r="V101" i="3" s="1"/>
  <c r="AB101" i="3" s="1"/>
  <c r="AD101" i="3" s="1"/>
  <c r="N221" i="3"/>
  <c r="O221" i="3" s="1"/>
  <c r="P221" i="3" s="1"/>
  <c r="X221" i="3" s="1"/>
  <c r="N131" i="3"/>
  <c r="O131" i="3" s="1"/>
  <c r="P131" i="3" s="1"/>
  <c r="X131" i="3" s="1"/>
  <c r="Y131" i="3" s="1"/>
  <c r="T80" i="3"/>
  <c r="U80" i="3" s="1"/>
  <c r="V80" i="3" s="1"/>
  <c r="AB80" i="3" s="1"/>
  <c r="AC80" i="3" s="1"/>
  <c r="H158" i="3"/>
  <c r="X253" i="3"/>
  <c r="Z253" i="3" s="1"/>
  <c r="X72" i="3"/>
  <c r="Y72" i="3" s="1"/>
  <c r="X158" i="3"/>
  <c r="Z158" i="3" s="1"/>
  <c r="AW139" i="3"/>
  <c r="AX139" i="3" s="1"/>
  <c r="T96" i="3"/>
  <c r="U96" i="3" s="1"/>
  <c r="V96" i="3" s="1"/>
  <c r="AB96" i="3" s="1"/>
  <c r="AD96" i="3" s="1"/>
  <c r="N96" i="3"/>
  <c r="O96" i="3" s="1"/>
  <c r="P96" i="3" s="1"/>
  <c r="X96" i="3" s="1"/>
  <c r="T186" i="3"/>
  <c r="U186" i="3" s="1"/>
  <c r="V186" i="3" s="1"/>
  <c r="AB186" i="3" s="1"/>
  <c r="AD186" i="3" s="1"/>
  <c r="T199" i="3"/>
  <c r="U199" i="3" s="1"/>
  <c r="V199" i="3" s="1"/>
  <c r="AB199" i="3" s="1"/>
  <c r="AC199" i="3" s="1"/>
  <c r="T85" i="3"/>
  <c r="U85" i="3" s="1"/>
  <c r="V85" i="3" s="1"/>
  <c r="AB85" i="3" s="1"/>
  <c r="AD85" i="3" s="1"/>
  <c r="N173" i="3"/>
  <c r="O173" i="3" s="1"/>
  <c r="P173" i="3" s="1"/>
  <c r="X173" i="3" s="1"/>
  <c r="Z173" i="3" s="1"/>
  <c r="T142" i="3"/>
  <c r="U142" i="3" s="1"/>
  <c r="V142" i="3" s="1"/>
  <c r="AB142" i="3" s="1"/>
  <c r="AC142" i="3" s="1"/>
  <c r="N218" i="3"/>
  <c r="O218" i="3" s="1"/>
  <c r="P218" i="3" s="1"/>
  <c r="X218" i="3" s="1"/>
  <c r="Y218" i="3" s="1"/>
  <c r="N170" i="3"/>
  <c r="O170" i="3" s="1"/>
  <c r="P170" i="3" s="1"/>
  <c r="X170" i="3" s="1"/>
  <c r="AF170" i="3" s="1"/>
  <c r="T86" i="3"/>
  <c r="U86" i="3" s="1"/>
  <c r="V86" i="3" s="1"/>
  <c r="AB86" i="3" s="1"/>
  <c r="AC86" i="3" s="1"/>
  <c r="N166" i="3"/>
  <c r="O166" i="3" s="1"/>
  <c r="P166" i="3" s="1"/>
  <c r="X166" i="3" s="1"/>
  <c r="AF166" i="3" s="1"/>
  <c r="T226" i="3"/>
  <c r="U226" i="3" s="1"/>
  <c r="V226" i="3" s="1"/>
  <c r="AB226" i="3" s="1"/>
  <c r="AC226" i="3" s="1"/>
  <c r="T188" i="3"/>
  <c r="U188" i="3" s="1"/>
  <c r="V188" i="3" s="1"/>
  <c r="AB188" i="3" s="1"/>
  <c r="AD188" i="3" s="1"/>
  <c r="N128" i="3"/>
  <c r="O128" i="3" s="1"/>
  <c r="P128" i="3" s="1"/>
  <c r="X128" i="3" s="1"/>
  <c r="AF128" i="3" s="1"/>
  <c r="N205" i="3"/>
  <c r="O205" i="3" s="1"/>
  <c r="P205" i="3" s="1"/>
  <c r="X205" i="3" s="1"/>
  <c r="Y205" i="3" s="1"/>
  <c r="T253" i="3"/>
  <c r="U253" i="3" s="1"/>
  <c r="V253" i="3" s="1"/>
  <c r="AB253" i="3" s="1"/>
  <c r="N107" i="3"/>
  <c r="O107" i="3" s="1"/>
  <c r="P107" i="3" s="1"/>
  <c r="X107" i="3" s="1"/>
  <c r="Z107" i="3" s="1"/>
  <c r="N167" i="3"/>
  <c r="O167" i="3" s="1"/>
  <c r="P167" i="3" s="1"/>
  <c r="X167" i="3" s="1"/>
  <c r="Y167" i="3" s="1"/>
  <c r="T230" i="3"/>
  <c r="U230" i="3" s="1"/>
  <c r="V230" i="3" s="1"/>
  <c r="AB230" i="3" s="1"/>
  <c r="AD230" i="3" s="1"/>
  <c r="T183" i="3"/>
  <c r="U183" i="3" s="1"/>
  <c r="V183" i="3" s="1"/>
  <c r="AB183" i="3" s="1"/>
  <c r="AC183" i="3" s="1"/>
  <c r="N134" i="3"/>
  <c r="O134" i="3" s="1"/>
  <c r="P134" i="3" s="1"/>
  <c r="X134" i="3" s="1"/>
  <c r="Z134" i="3" s="1"/>
  <c r="N234" i="3"/>
  <c r="O234" i="3" s="1"/>
  <c r="P234" i="3" s="1"/>
  <c r="X234" i="3" s="1"/>
  <c r="Y234" i="3" s="1"/>
  <c r="T92" i="3"/>
  <c r="U92" i="3" s="1"/>
  <c r="V92" i="3" s="1"/>
  <c r="AB92" i="3" s="1"/>
  <c r="AC92" i="3" s="1"/>
  <c r="N180" i="3"/>
  <c r="O180" i="3" s="1"/>
  <c r="P180" i="3" s="1"/>
  <c r="X180" i="3" s="1"/>
  <c r="Z180" i="3" s="1"/>
  <c r="N88" i="3"/>
  <c r="O88" i="3" s="1"/>
  <c r="P88" i="3" s="1"/>
  <c r="X88" i="3" s="1"/>
  <c r="Y88" i="3" s="1"/>
  <c r="N210" i="3"/>
  <c r="O210" i="3" s="1"/>
  <c r="P210" i="3" s="1"/>
  <c r="X210" i="3" s="1"/>
  <c r="AF210" i="3" s="1"/>
  <c r="T169" i="3"/>
  <c r="U169" i="3" s="1"/>
  <c r="V169" i="3" s="1"/>
  <c r="AB169" i="3" s="1"/>
  <c r="AC169" i="3" s="1"/>
  <c r="N113" i="3"/>
  <c r="O113" i="3" s="1"/>
  <c r="P113" i="3" s="1"/>
  <c r="X113" i="3" s="1"/>
  <c r="Y113" i="3" s="1"/>
  <c r="N216" i="3"/>
  <c r="O216" i="3" s="1"/>
  <c r="P216" i="3" s="1"/>
  <c r="X216" i="3" s="1"/>
  <c r="Z216" i="3" s="1"/>
  <c r="N123" i="3"/>
  <c r="O123" i="3" s="1"/>
  <c r="P123" i="3" s="1"/>
  <c r="X123" i="3" s="1"/>
  <c r="Y123" i="3" s="1"/>
  <c r="N223" i="3"/>
  <c r="O223" i="3" s="1"/>
  <c r="P223" i="3" s="1"/>
  <c r="X223" i="3" s="1"/>
  <c r="Z223" i="3" s="1"/>
  <c r="N155" i="3"/>
  <c r="O155" i="3" s="1"/>
  <c r="P155" i="3" s="1"/>
  <c r="X155" i="3" s="1"/>
  <c r="Y155" i="3" s="1"/>
  <c r="T114" i="3"/>
  <c r="U114" i="3" s="1"/>
  <c r="V114" i="3" s="1"/>
  <c r="AB114" i="3" s="1"/>
  <c r="AD114" i="3" s="1"/>
  <c r="T145" i="3"/>
  <c r="U145" i="3" s="1"/>
  <c r="V145" i="3" s="1"/>
  <c r="AB145" i="3" s="1"/>
  <c r="AC145" i="3" s="1"/>
  <c r="N190" i="3"/>
  <c r="O190" i="3" s="1"/>
  <c r="P190" i="3" s="1"/>
  <c r="X190" i="3" s="1"/>
  <c r="Y190" i="3" s="1"/>
  <c r="N108" i="3"/>
  <c r="O108" i="3" s="1"/>
  <c r="P108" i="3" s="1"/>
  <c r="X108" i="3" s="1"/>
  <c r="AF108" i="3" s="1"/>
  <c r="N227" i="3"/>
  <c r="O227" i="3" s="1"/>
  <c r="P227" i="3" s="1"/>
  <c r="X227" i="3" s="1"/>
  <c r="AF227" i="3" s="1"/>
  <c r="N84" i="3"/>
  <c r="O84" i="3" s="1"/>
  <c r="P84" i="3" s="1"/>
  <c r="X84" i="3" s="1"/>
  <c r="Y84" i="3" s="1"/>
  <c r="T257" i="3"/>
  <c r="U257" i="3" s="1"/>
  <c r="V257" i="3" s="1"/>
  <c r="AB257" i="3" s="1"/>
  <c r="AC257" i="3" s="1"/>
  <c r="N172" i="3"/>
  <c r="O172" i="3" s="1"/>
  <c r="P172" i="3" s="1"/>
  <c r="X172" i="3" s="1"/>
  <c r="AF172" i="3" s="1"/>
  <c r="AW73" i="3"/>
  <c r="AY73" i="3" s="1"/>
  <c r="AW231" i="3"/>
  <c r="AY231" i="3" s="1"/>
  <c r="AW252" i="3"/>
  <c r="AY252" i="3" s="1"/>
  <c r="AW134" i="3"/>
  <c r="AX134" i="3" s="1"/>
  <c r="G171" i="3"/>
  <c r="H207" i="3"/>
  <c r="G192" i="3"/>
  <c r="AW224" i="3"/>
  <c r="AZ224" i="3" s="1"/>
  <c r="AW241" i="3"/>
  <c r="AX241" i="3" s="1"/>
  <c r="F42" i="1"/>
  <c r="F41" i="1" s="1"/>
  <c r="G41" i="1" s="1"/>
  <c r="AW87" i="3"/>
  <c r="AX87" i="3" s="1"/>
  <c r="AW220" i="3"/>
  <c r="AZ220" i="3" s="1"/>
  <c r="AW77" i="3"/>
  <c r="AY77" i="3" s="1"/>
  <c r="AW168" i="3"/>
  <c r="AY168" i="3" s="1"/>
  <c r="AW118" i="3"/>
  <c r="AX118" i="3" s="1"/>
  <c r="AW191" i="3"/>
  <c r="AW150" i="3"/>
  <c r="AY150" i="3" s="1"/>
  <c r="AW94" i="3"/>
  <c r="AX94" i="3" s="1"/>
  <c r="AW251" i="3"/>
  <c r="AZ251" i="3" s="1"/>
  <c r="AW105" i="3"/>
  <c r="AW117" i="3"/>
  <c r="AY117" i="3" s="1"/>
  <c r="AW239" i="3"/>
  <c r="AX239" i="3" s="1"/>
  <c r="AW98" i="3"/>
  <c r="AZ98" i="3" s="1"/>
  <c r="AW173" i="3"/>
  <c r="AY173" i="3" s="1"/>
  <c r="AW229" i="3"/>
  <c r="AW89" i="3"/>
  <c r="AY89" i="3" s="1"/>
  <c r="AW196" i="3"/>
  <c r="AX196" i="3" s="1"/>
  <c r="AW72" i="3"/>
  <c r="AX72" i="3" s="1"/>
  <c r="AW181" i="3"/>
  <c r="AY181" i="3" s="1"/>
  <c r="AW163" i="3"/>
  <c r="AX163" i="3" s="1"/>
  <c r="AW204" i="3"/>
  <c r="AX204" i="3" s="1"/>
  <c r="AW157" i="3"/>
  <c r="AW76" i="3"/>
  <c r="AY76" i="3" s="1"/>
  <c r="AW175" i="3"/>
  <c r="AX175" i="3" s="1"/>
  <c r="AW209" i="3"/>
  <c r="AY209" i="3" s="1"/>
  <c r="AW261" i="3"/>
  <c r="AX261" i="3" s="1"/>
  <c r="AW142" i="3"/>
  <c r="AY142" i="3" s="1"/>
  <c r="AW93" i="3"/>
  <c r="AX93" i="3" s="1"/>
  <c r="AW66" i="3"/>
  <c r="AW244" i="3"/>
  <c r="AX244" i="3" s="1"/>
  <c r="AW113" i="3"/>
  <c r="AY113" i="3" s="1"/>
  <c r="AW211" i="3"/>
  <c r="AY211" i="3" s="1"/>
  <c r="AW243" i="3"/>
  <c r="AY243" i="3" s="1"/>
  <c r="AW208" i="3"/>
  <c r="AZ208" i="3" s="1"/>
  <c r="BA208" i="3" s="1"/>
  <c r="AW107" i="3"/>
  <c r="AX107" i="3" s="1"/>
  <c r="AW158" i="3"/>
  <c r="AW174" i="3"/>
  <c r="AY174" i="3" s="1"/>
  <c r="AW171" i="3"/>
  <c r="AX171" i="3" s="1"/>
  <c r="AW141" i="3"/>
  <c r="AX141" i="3" s="1"/>
  <c r="AW165" i="3"/>
  <c r="AY165" i="3" s="1"/>
  <c r="AW221" i="3"/>
  <c r="AX221" i="3" s="1"/>
  <c r="AW91" i="3"/>
  <c r="AX91" i="3" s="1"/>
  <c r="AW260" i="3"/>
  <c r="AY260" i="3" s="1"/>
  <c r="G189" i="3"/>
  <c r="G208" i="3"/>
  <c r="X219" i="3"/>
  <c r="Z219" i="3" s="1"/>
  <c r="AW178" i="3"/>
  <c r="AZ178" i="3" s="1"/>
  <c r="AW256" i="3"/>
  <c r="AX256" i="3" s="1"/>
  <c r="AW185" i="3"/>
  <c r="AX185" i="3" s="1"/>
  <c r="AW122" i="3"/>
  <c r="AX122" i="3" s="1"/>
  <c r="AW112" i="3"/>
  <c r="AY112" i="3" s="1"/>
  <c r="AW182" i="3"/>
  <c r="AY182" i="3" s="1"/>
  <c r="AW218" i="3"/>
  <c r="AX218" i="3" s="1"/>
  <c r="AW198" i="3"/>
  <c r="AY198" i="3" s="1"/>
  <c r="AW189" i="3"/>
  <c r="AX189" i="3" s="1"/>
  <c r="AW202" i="3"/>
  <c r="AY202" i="3" s="1"/>
  <c r="AW172" i="3"/>
  <c r="AX172" i="3" s="1"/>
  <c r="AW179" i="3"/>
  <c r="AY179" i="3" s="1"/>
  <c r="AW114" i="3"/>
  <c r="AX114" i="3" s="1"/>
  <c r="G137" i="3"/>
  <c r="H212" i="3"/>
  <c r="H246" i="3"/>
  <c r="X136" i="3"/>
  <c r="AW262" i="3"/>
  <c r="AX262" i="3" s="1"/>
  <c r="AC248" i="3"/>
  <c r="AX128" i="3"/>
  <c r="AW111" i="3"/>
  <c r="AY111" i="3" s="1"/>
  <c r="AW85" i="3"/>
  <c r="AY216" i="3"/>
  <c r="AW236" i="3"/>
  <c r="AY236" i="3" s="1"/>
  <c r="AW248" i="3"/>
  <c r="AX248" i="3" s="1"/>
  <c r="AW78" i="3"/>
  <c r="AX78" i="3" s="1"/>
  <c r="AW144" i="3"/>
  <c r="AY144" i="3" s="1"/>
  <c r="AW230" i="3"/>
  <c r="AY230" i="3" s="1"/>
  <c r="AW146" i="3"/>
  <c r="AY146" i="3" s="1"/>
  <c r="AW247" i="3"/>
  <c r="AX184" i="3"/>
  <c r="AW70" i="3"/>
  <c r="AY70" i="3" s="1"/>
  <c r="AW234" i="3"/>
  <c r="AY234" i="3" s="1"/>
  <c r="AW126" i="3"/>
  <c r="AY126" i="3" s="1"/>
  <c r="AW79" i="3"/>
  <c r="AZ79" i="3" s="1"/>
  <c r="AW183" i="3"/>
  <c r="AY183" i="3" s="1"/>
  <c r="AW127" i="3"/>
  <c r="AX127" i="3" s="1"/>
  <c r="AW253" i="3"/>
  <c r="AX253" i="3" s="1"/>
  <c r="X200" i="3"/>
  <c r="Z200" i="3" s="1"/>
  <c r="AC197" i="3"/>
  <c r="AD197" i="3"/>
  <c r="AC245" i="3"/>
  <c r="X246" i="3"/>
  <c r="Y246" i="3" s="1"/>
  <c r="H259" i="3"/>
  <c r="H219" i="3"/>
  <c r="H217" i="3"/>
  <c r="H222" i="3"/>
  <c r="G64" i="3"/>
  <c r="H201" i="3"/>
  <c r="AC171" i="3"/>
  <c r="G152" i="3"/>
  <c r="X222" i="3"/>
  <c r="X160" i="3"/>
  <c r="X201" i="3"/>
  <c r="Y201" i="3" s="1"/>
  <c r="H214" i="3"/>
  <c r="X217" i="3"/>
  <c r="Y217" i="3" s="1"/>
  <c r="Q72" i="2"/>
  <c r="X206" i="3"/>
  <c r="G82" i="3"/>
  <c r="H138" i="3"/>
  <c r="X214" i="3"/>
  <c r="Z214" i="3" s="1"/>
  <c r="H109" i="3"/>
  <c r="AC95" i="3"/>
  <c r="G163" i="3"/>
  <c r="G154" i="3"/>
  <c r="X129" i="3"/>
  <c r="Y129" i="3" s="1"/>
  <c r="X203" i="3"/>
  <c r="Y203" i="3" s="1"/>
  <c r="X82" i="3"/>
  <c r="Y82" i="3" s="1"/>
  <c r="X152" i="3"/>
  <c r="X259" i="3"/>
  <c r="Y259" i="3" s="1"/>
  <c r="H129" i="3"/>
  <c r="AC184" i="3"/>
  <c r="X186" i="3"/>
  <c r="Y186" i="3" s="1"/>
  <c r="AD98" i="3"/>
  <c r="AD90" i="3"/>
  <c r="AD249" i="3"/>
  <c r="AZ184" i="3"/>
  <c r="BA184" i="3" s="1"/>
  <c r="AD134" i="3"/>
  <c r="AD207" i="3"/>
  <c r="AC207" i="3"/>
  <c r="AX246" i="3"/>
  <c r="AY246" i="3"/>
  <c r="AY115" i="3"/>
  <c r="AX115" i="3"/>
  <c r="AX152" i="3"/>
  <c r="AY152" i="3"/>
  <c r="AW95" i="3"/>
  <c r="AC254" i="3"/>
  <c r="G249" i="3"/>
  <c r="G161" i="3"/>
  <c r="H161" i="3"/>
  <c r="AW121" i="3"/>
  <c r="AY121" i="3" s="1"/>
  <c r="AD224" i="3"/>
  <c r="AW210" i="3"/>
  <c r="AX210" i="3" s="1"/>
  <c r="H111" i="3"/>
  <c r="X109" i="3"/>
  <c r="Y109" i="3" s="1"/>
  <c r="AW177" i="3"/>
  <c r="AZ177" i="3" s="1"/>
  <c r="AW187" i="3"/>
  <c r="AW102" i="3"/>
  <c r="AY102" i="3" s="1"/>
  <c r="AW212" i="3"/>
  <c r="AX212" i="3" s="1"/>
  <c r="AW233" i="3"/>
  <c r="AY233" i="3" s="1"/>
  <c r="X145" i="3"/>
  <c r="Z145" i="3" s="1"/>
  <c r="AW227" i="3"/>
  <c r="AX227" i="3" s="1"/>
  <c r="H145" i="3"/>
  <c r="AW194" i="3"/>
  <c r="AY194" i="3" s="1"/>
  <c r="G223" i="3"/>
  <c r="AW64" i="3"/>
  <c r="AZ64" i="3" s="1"/>
  <c r="AD88" i="3"/>
  <c r="AC79" i="3"/>
  <c r="AC180" i="3"/>
  <c r="AD208" i="3"/>
  <c r="AC155" i="3"/>
  <c r="AB216" i="3"/>
  <c r="AZ216" i="3"/>
  <c r="AC149" i="3"/>
  <c r="AC231" i="3"/>
  <c r="X156" i="3"/>
  <c r="Z156" i="3" s="1"/>
  <c r="H236" i="3"/>
  <c r="H202" i="3"/>
  <c r="AC173" i="3"/>
  <c r="AC153" i="3"/>
  <c r="H238" i="3"/>
  <c r="AD234" i="3"/>
  <c r="G175" i="3"/>
  <c r="AC93" i="3"/>
  <c r="H211" i="3"/>
  <c r="H186" i="3"/>
  <c r="AC179" i="3"/>
  <c r="Z182" i="3"/>
  <c r="AC243" i="3"/>
  <c r="X171" i="3"/>
  <c r="AF171" i="3" s="1"/>
  <c r="AC263" i="3"/>
  <c r="Y229" i="3"/>
  <c r="X228" i="3"/>
  <c r="Y228" i="3" s="1"/>
  <c r="X144" i="3"/>
  <c r="Y144" i="3" s="1"/>
  <c r="X89" i="3"/>
  <c r="Z89" i="3" s="1"/>
  <c r="X175" i="3"/>
  <c r="AD138" i="3"/>
  <c r="AD221" i="3"/>
  <c r="X86" i="3"/>
  <c r="G231" i="3"/>
  <c r="G88" i="3"/>
  <c r="AC190" i="3"/>
  <c r="AC172" i="3"/>
  <c r="Y198" i="3"/>
  <c r="X258" i="3"/>
  <c r="AD225" i="3"/>
  <c r="X119" i="3"/>
  <c r="X183" i="3"/>
  <c r="AC131" i="3"/>
  <c r="X239" i="3"/>
  <c r="Z239" i="3" s="1"/>
  <c r="X99" i="3"/>
  <c r="Z99" i="3" s="1"/>
  <c r="X74" i="3"/>
  <c r="X230" i="3"/>
  <c r="Y230" i="3" s="1"/>
  <c r="X148" i="3"/>
  <c r="Z148" i="3" s="1"/>
  <c r="AD127" i="3"/>
  <c r="X208" i="3"/>
  <c r="AC123" i="3"/>
  <c r="AD116" i="3"/>
  <c r="AC116" i="3"/>
  <c r="AX201" i="3"/>
  <c r="AY201" i="3"/>
  <c r="AY162" i="3"/>
  <c r="AZ162" i="3"/>
  <c r="AX162" i="3"/>
  <c r="AX100" i="3"/>
  <c r="AY100" i="3"/>
  <c r="AZ138" i="3"/>
  <c r="AY138" i="3"/>
  <c r="AX138" i="3"/>
  <c r="AZ197" i="3"/>
  <c r="AY197" i="3"/>
  <c r="AX197" i="3"/>
  <c r="AC81" i="3"/>
  <c r="AD81" i="3"/>
  <c r="AY257" i="3"/>
  <c r="AX257" i="3"/>
  <c r="AD73" i="3"/>
  <c r="AC73" i="3"/>
  <c r="AX240" i="3"/>
  <c r="AY240" i="3"/>
  <c r="AX116" i="3"/>
  <c r="AY116" i="3"/>
  <c r="AZ116" i="3"/>
  <c r="AC94" i="3"/>
  <c r="AD94" i="3"/>
  <c r="AY190" i="3"/>
  <c r="AZ190" i="3"/>
  <c r="AX190" i="3"/>
  <c r="AD163" i="3"/>
  <c r="AC163" i="3"/>
  <c r="AX145" i="3"/>
  <c r="AY145" i="3"/>
  <c r="AX199" i="3"/>
  <c r="AC97" i="3"/>
  <c r="AD97" i="3"/>
  <c r="AY125" i="3"/>
  <c r="AX125" i="3"/>
  <c r="AC204" i="3"/>
  <c r="AD204" i="3"/>
  <c r="AX104" i="3"/>
  <c r="AY104" i="3"/>
  <c r="AZ154" i="3"/>
  <c r="AY154" i="3"/>
  <c r="AX154" i="3"/>
  <c r="AY160" i="3"/>
  <c r="AX160" i="3"/>
  <c r="AZ140" i="3"/>
  <c r="AY140" i="3"/>
  <c r="AX140" i="3"/>
  <c r="AX103" i="3"/>
  <c r="AY103" i="3"/>
  <c r="AZ132" i="3"/>
  <c r="AX132" i="3"/>
  <c r="AY132" i="3"/>
  <c r="AX99" i="3"/>
  <c r="AY99" i="3"/>
  <c r="Z135" i="3"/>
  <c r="Y135" i="3"/>
  <c r="AY255" i="3"/>
  <c r="AX255" i="3"/>
  <c r="AX169" i="3"/>
  <c r="AY169" i="3"/>
  <c r="AD111" i="3"/>
  <c r="AC111" i="3"/>
  <c r="AY217" i="3"/>
  <c r="AX217" i="3"/>
  <c r="AZ124" i="3"/>
  <c r="AX124" i="3"/>
  <c r="AY124" i="3"/>
  <c r="AY166" i="3"/>
  <c r="AX166" i="3"/>
  <c r="AZ166" i="3"/>
  <c r="AX161" i="3"/>
  <c r="AY161" i="3"/>
  <c r="AZ161" i="3"/>
  <c r="AX130" i="3"/>
  <c r="AY130" i="3"/>
  <c r="AX155" i="3"/>
  <c r="AY155" i="3"/>
  <c r="AZ155" i="3"/>
  <c r="AY148" i="3"/>
  <c r="AX148" i="3"/>
  <c r="AX186" i="3"/>
  <c r="AY186" i="3"/>
  <c r="AX82" i="3"/>
  <c r="AY82" i="3"/>
  <c r="AC170" i="3"/>
  <c r="AD170" i="3"/>
  <c r="AZ84" i="3"/>
  <c r="AX84" i="3"/>
  <c r="AY84" i="3"/>
  <c r="AZ242" i="3"/>
  <c r="AX242" i="3"/>
  <c r="AY242" i="3"/>
  <c r="AZ88" i="3"/>
  <c r="AX88" i="3"/>
  <c r="AY88" i="3"/>
  <c r="AB115" i="3"/>
  <c r="AZ115" i="3"/>
  <c r="AY195" i="3"/>
  <c r="AX195" i="3"/>
  <c r="AY193" i="3"/>
  <c r="AX193" i="3"/>
  <c r="AZ193" i="3"/>
  <c r="AX223" i="3"/>
  <c r="AY223" i="3"/>
  <c r="AZ223" i="3"/>
  <c r="AD233" i="3"/>
  <c r="AC233" i="3"/>
  <c r="AY108" i="3"/>
  <c r="AZ108" i="3"/>
  <c r="AX108" i="3"/>
  <c r="AC121" i="3"/>
  <c r="AD121" i="3"/>
  <c r="AC194" i="3"/>
  <c r="AD194" i="3"/>
  <c r="AD124" i="3"/>
  <c r="AC124" i="3"/>
  <c r="AC213" i="3"/>
  <c r="AD213" i="3"/>
  <c r="AB64" i="3"/>
  <c r="AY65" i="3"/>
  <c r="AC140" i="3"/>
  <c r="AD140" i="3"/>
  <c r="AD244" i="3"/>
  <c r="AC244" i="3"/>
  <c r="AY215" i="3"/>
  <c r="AX215" i="3"/>
  <c r="AX250" i="3"/>
  <c r="AZ213" i="3"/>
  <c r="AY213" i="3"/>
  <c r="AX213" i="3"/>
  <c r="AY222" i="3"/>
  <c r="AX222" i="3"/>
  <c r="AC76" i="3"/>
  <c r="AD76" i="3"/>
  <c r="AZ238" i="3"/>
  <c r="AY238" i="3"/>
  <c r="AX238" i="3"/>
  <c r="AB218" i="3"/>
  <c r="AD167" i="3"/>
  <c r="AC167" i="3"/>
  <c r="AX101" i="3"/>
  <c r="AY101" i="3"/>
  <c r="AX96" i="3"/>
  <c r="AY96" i="3"/>
  <c r="AY200" i="3"/>
  <c r="AX200" i="3"/>
  <c r="AY68" i="3"/>
  <c r="AX68" i="3"/>
  <c r="AX170" i="3"/>
  <c r="AZ170" i="3"/>
  <c r="AY170" i="3"/>
  <c r="AZ90" i="3"/>
  <c r="AX90" i="3"/>
  <c r="AY90" i="3"/>
  <c r="AY123" i="3"/>
  <c r="AX123" i="3"/>
  <c r="AZ123" i="3"/>
  <c r="AZ207" i="3"/>
  <c r="AY207" i="3"/>
  <c r="AX207" i="3"/>
  <c r="AZ249" i="3"/>
  <c r="AY249" i="3"/>
  <c r="AX249" i="3"/>
  <c r="AZ263" i="3"/>
  <c r="AY263" i="3"/>
  <c r="AX263" i="3"/>
  <c r="H65" i="3"/>
  <c r="G65" i="3"/>
  <c r="G102" i="3"/>
  <c r="H102" i="3"/>
  <c r="Y100" i="3"/>
  <c r="Z100" i="3"/>
  <c r="G97" i="3"/>
  <c r="H97" i="3"/>
  <c r="G177" i="3"/>
  <c r="H177" i="3"/>
  <c r="AY67" i="3"/>
  <c r="AX67" i="3"/>
  <c r="AX153" i="3"/>
  <c r="AY153" i="3"/>
  <c r="AZ153" i="3"/>
  <c r="X102" i="3"/>
  <c r="G176" i="3"/>
  <c r="H176" i="3"/>
  <c r="H72" i="3"/>
  <c r="G72" i="3"/>
  <c r="AW254" i="3"/>
  <c r="AD137" i="3"/>
  <c r="AC137" i="3"/>
  <c r="AD238" i="3"/>
  <c r="AC238" i="3"/>
  <c r="AX159" i="3"/>
  <c r="AY159" i="3"/>
  <c r="AZ159" i="3"/>
  <c r="AY110" i="3"/>
  <c r="AZ110" i="3"/>
  <c r="AX110" i="3"/>
  <c r="X185" i="3"/>
  <c r="AC178" i="3"/>
  <c r="AD178" i="3"/>
  <c r="AW156" i="3"/>
  <c r="AD120" i="3"/>
  <c r="AC120" i="3"/>
  <c r="G157" i="3"/>
  <c r="H157" i="3"/>
  <c r="X157" i="3"/>
  <c r="AX92" i="3"/>
  <c r="AY92" i="3"/>
  <c r="Z264" i="3"/>
  <c r="H197" i="3"/>
  <c r="G197" i="3"/>
  <c r="AW226" i="3"/>
  <c r="H112" i="3"/>
  <c r="G112" i="3"/>
  <c r="AC91" i="3"/>
  <c r="AD91" i="3"/>
  <c r="G91" i="3"/>
  <c r="H91" i="3"/>
  <c r="AW206" i="3"/>
  <c r="X105" i="3"/>
  <c r="AC202" i="3"/>
  <c r="AD202" i="3"/>
  <c r="AW74" i="3"/>
  <c r="H213" i="3"/>
  <c r="G213" i="3"/>
  <c r="AW69" i="3"/>
  <c r="G96" i="3"/>
  <c r="H96" i="3"/>
  <c r="AD260" i="3"/>
  <c r="AC260" i="3"/>
  <c r="H156" i="3"/>
  <c r="G156" i="3"/>
  <c r="H110" i="3"/>
  <c r="G110" i="3"/>
  <c r="AD147" i="3"/>
  <c r="AC147" i="3"/>
  <c r="AD193" i="3"/>
  <c r="AC193" i="3"/>
  <c r="AD210" i="3"/>
  <c r="AC210" i="3"/>
  <c r="G153" i="3"/>
  <c r="H153" i="3"/>
  <c r="G221" i="3"/>
  <c r="H221" i="3"/>
  <c r="AW147" i="3"/>
  <c r="AW203" i="3"/>
  <c r="AW259" i="3"/>
  <c r="AX219" i="3"/>
  <c r="AY219" i="3"/>
  <c r="Y240" i="3"/>
  <c r="Z240" i="3"/>
  <c r="AC107" i="3"/>
  <c r="AD107" i="3"/>
  <c r="AD126" i="3"/>
  <c r="AC126" i="3"/>
  <c r="AD159" i="3"/>
  <c r="AC159" i="3"/>
  <c r="H140" i="3"/>
  <c r="G140" i="3"/>
  <c r="H160" i="3"/>
  <c r="G160" i="3"/>
  <c r="AY232" i="3"/>
  <c r="AX232" i="3"/>
  <c r="AC261" i="3"/>
  <c r="AD261" i="3"/>
  <c r="AD141" i="3"/>
  <c r="AC141" i="3"/>
  <c r="AW106" i="3"/>
  <c r="AW237" i="3"/>
  <c r="AC83" i="3"/>
  <c r="AD83" i="3"/>
  <c r="AX149" i="3"/>
  <c r="AY149" i="3"/>
  <c r="AZ149" i="3"/>
  <c r="AZ205" i="3"/>
  <c r="AY205" i="3"/>
  <c r="AX205" i="3"/>
  <c r="G90" i="3"/>
  <c r="H90" i="3"/>
  <c r="AC192" i="3"/>
  <c r="AD192" i="3"/>
  <c r="AC251" i="3"/>
  <c r="AD251" i="3"/>
  <c r="H257" i="3"/>
  <c r="G257" i="3"/>
  <c r="Y247" i="3"/>
  <c r="H255" i="3"/>
  <c r="G255" i="3"/>
  <c r="X255" i="3"/>
  <c r="Y130" i="3"/>
  <c r="Z130" i="3"/>
  <c r="G206" i="3"/>
  <c r="H206" i="3"/>
  <c r="AC108" i="3"/>
  <c r="AD108" i="3"/>
  <c r="G105" i="3"/>
  <c r="H105" i="3"/>
  <c r="G139" i="3"/>
  <c r="H139" i="3"/>
  <c r="X139" i="3"/>
  <c r="AC154" i="3"/>
  <c r="AD154" i="3"/>
  <c r="AC211" i="3"/>
  <c r="AD211" i="3"/>
  <c r="AY133" i="3"/>
  <c r="AX133" i="3"/>
  <c r="AC177" i="3"/>
  <c r="AD177" i="3"/>
  <c r="AF95" i="3"/>
  <c r="AC84" i="3"/>
  <c r="AD84" i="3"/>
  <c r="Y169" i="3"/>
  <c r="Z169" i="3"/>
  <c r="AD212" i="3"/>
  <c r="AC212" i="3"/>
  <c r="AD242" i="3"/>
  <c r="AC242" i="3"/>
  <c r="H74" i="3"/>
  <c r="G74" i="3"/>
  <c r="H239" i="3"/>
  <c r="G239" i="3"/>
  <c r="AC205" i="3"/>
  <c r="AD205" i="3"/>
  <c r="AW225" i="3"/>
  <c r="AD252" i="3"/>
  <c r="AC252" i="3"/>
  <c r="H128" i="3"/>
  <c r="G128" i="3"/>
  <c r="AD174" i="3"/>
  <c r="AC174" i="3"/>
  <c r="H195" i="3"/>
  <c r="G195" i="3"/>
  <c r="X195" i="3"/>
  <c r="H260" i="3"/>
  <c r="G260" i="3"/>
  <c r="G242" i="3"/>
  <c r="H242" i="3"/>
  <c r="AW164" i="3"/>
  <c r="G233" i="3"/>
  <c r="H233" i="3"/>
  <c r="G172" i="3"/>
  <c r="H172" i="3"/>
  <c r="AZ128" i="3"/>
  <c r="H68" i="3"/>
  <c r="G68" i="3"/>
  <c r="AD151" i="3"/>
  <c r="AC151" i="3"/>
  <c r="AD132" i="3"/>
  <c r="AC132" i="3"/>
  <c r="AD143" i="3"/>
  <c r="AC143" i="3"/>
  <c r="G86" i="3"/>
  <c r="H86" i="3"/>
  <c r="G205" i="3"/>
  <c r="H205" i="3"/>
  <c r="AW109" i="3"/>
  <c r="H230" i="3"/>
  <c r="G230" i="3"/>
  <c r="AD227" i="3"/>
  <c r="AC227" i="3"/>
  <c r="H200" i="3"/>
  <c r="G200" i="3"/>
  <c r="G99" i="3"/>
  <c r="H99" i="3"/>
  <c r="AD256" i="3"/>
  <c r="AC256" i="3"/>
  <c r="AC162" i="3"/>
  <c r="AD162" i="3"/>
  <c r="AD128" i="3"/>
  <c r="AC128" i="3"/>
  <c r="AC220" i="3"/>
  <c r="AD220" i="3"/>
  <c r="H185" i="3"/>
  <c r="G185" i="3"/>
  <c r="AX83" i="3"/>
  <c r="AZ83" i="3"/>
  <c r="AY83" i="3"/>
  <c r="AY192" i="3"/>
  <c r="AZ192" i="3"/>
  <c r="AX192" i="3"/>
  <c r="AC203" i="3"/>
  <c r="AD203" i="3"/>
  <c r="AW120" i="3"/>
  <c r="G227" i="3"/>
  <c r="H227" i="3"/>
  <c r="AW258" i="3"/>
  <c r="AC110" i="3"/>
  <c r="AD110" i="3"/>
  <c r="AD237" i="3"/>
  <c r="AC237" i="3"/>
  <c r="AW131" i="3"/>
  <c r="AD113" i="3"/>
  <c r="AC113" i="3"/>
  <c r="H76" i="3"/>
  <c r="G76" i="3"/>
  <c r="AD223" i="3"/>
  <c r="AC223" i="3"/>
  <c r="AD189" i="3"/>
  <c r="AC189" i="3"/>
  <c r="AD236" i="3"/>
  <c r="AC236" i="3"/>
  <c r="AD118" i="3"/>
  <c r="AC118" i="3"/>
  <c r="AD161" i="3"/>
  <c r="AC161" i="3"/>
  <c r="H148" i="3"/>
  <c r="G148" i="3"/>
  <c r="H228" i="3"/>
  <c r="G228" i="3"/>
  <c r="G151" i="3"/>
  <c r="H151" i="3"/>
  <c r="X257" i="3"/>
  <c r="G183" i="3"/>
  <c r="H183" i="3"/>
  <c r="G159" i="3"/>
  <c r="H159" i="3"/>
  <c r="G178" i="3"/>
  <c r="H178" i="3"/>
  <c r="AW143" i="3"/>
  <c r="AC176" i="3"/>
  <c r="AD176" i="3"/>
  <c r="G155" i="3"/>
  <c r="H155" i="3"/>
  <c r="AW75" i="3"/>
  <c r="G225" i="3"/>
  <c r="H225" i="3"/>
  <c r="X112" i="3"/>
  <c r="H119" i="3"/>
  <c r="G119" i="3"/>
  <c r="H258" i="3"/>
  <c r="G258" i="3"/>
  <c r="AW151" i="3"/>
  <c r="AW129" i="3"/>
  <c r="AW180" i="3"/>
  <c r="AW235" i="3"/>
  <c r="AC166" i="3"/>
  <c r="AD166" i="3"/>
  <c r="G89" i="3"/>
  <c r="H89" i="3"/>
  <c r="AW167" i="3"/>
  <c r="H144" i="3"/>
  <c r="G144" i="3"/>
  <c r="G107" i="3"/>
  <c r="H107" i="3"/>
  <c r="Y87" i="3" l="1"/>
  <c r="Z226" i="3"/>
  <c r="AX81" i="3"/>
  <c r="AY228" i="3"/>
  <c r="Z92" i="3"/>
  <c r="Z95" i="3"/>
  <c r="Y117" i="3"/>
  <c r="Y168" i="3"/>
  <c r="Z250" i="3"/>
  <c r="AF87" i="3"/>
  <c r="AH87" i="3" s="1"/>
  <c r="Y188" i="3"/>
  <c r="Y142" i="3"/>
  <c r="Y125" i="3"/>
  <c r="AZ67" i="3"/>
  <c r="BB67" i="3" s="1"/>
  <c r="Y191" i="3"/>
  <c r="Y80" i="3"/>
  <c r="Z70" i="3"/>
  <c r="Y232" i="3"/>
  <c r="Z71" i="3"/>
  <c r="AX245" i="3"/>
  <c r="Z181" i="3"/>
  <c r="Y150" i="3"/>
  <c r="AY245" i="3"/>
  <c r="Y65" i="3"/>
  <c r="AZ66" i="3"/>
  <c r="BD66" i="3" s="1"/>
  <c r="BF66" i="3" s="1"/>
  <c r="BI66" i="3" s="1"/>
  <c r="Z235" i="3"/>
  <c r="Z146" i="3"/>
  <c r="Z78" i="3"/>
  <c r="Y133" i="3"/>
  <c r="Y187" i="3"/>
  <c r="AF117" i="3"/>
  <c r="AG117" i="3" s="1"/>
  <c r="Y209" i="3"/>
  <c r="Z69" i="3"/>
  <c r="Y196" i="3"/>
  <c r="AY81" i="3"/>
  <c r="AF71" i="3"/>
  <c r="AG71" i="3" s="1"/>
  <c r="AF78" i="3"/>
  <c r="AH78" i="3" s="1"/>
  <c r="AX135" i="3"/>
  <c r="AX71" i="3"/>
  <c r="AX137" i="3"/>
  <c r="Z114" i="3"/>
  <c r="Z77" i="3"/>
  <c r="Z106" i="3"/>
  <c r="Z101" i="3"/>
  <c r="Y68" i="3"/>
  <c r="Y75" i="3"/>
  <c r="AC66" i="3"/>
  <c r="AD66" i="3"/>
  <c r="AD67" i="3"/>
  <c r="AC67" i="3"/>
  <c r="Z67" i="3"/>
  <c r="Y67" i="3"/>
  <c r="U68" i="3"/>
  <c r="V68" i="3" s="1"/>
  <c r="AB68" i="3" s="1"/>
  <c r="U65" i="3"/>
  <c r="V65" i="3" s="1"/>
  <c r="AB65" i="3" s="1"/>
  <c r="Y66" i="3"/>
  <c r="Z66" i="3"/>
  <c r="Z64" i="3"/>
  <c r="Y64" i="3"/>
  <c r="AY137" i="3"/>
  <c r="AF75" i="3"/>
  <c r="AG75" i="3" s="1"/>
  <c r="Z262" i="3"/>
  <c r="Y164" i="3"/>
  <c r="Y85" i="3"/>
  <c r="AX188" i="3"/>
  <c r="AX119" i="3"/>
  <c r="Y165" i="3"/>
  <c r="Y215" i="3"/>
  <c r="Z103" i="3"/>
  <c r="AZ176" i="3"/>
  <c r="BB176" i="3" s="1"/>
  <c r="AY97" i="3"/>
  <c r="AY176" i="3"/>
  <c r="AZ97" i="3"/>
  <c r="BB97" i="3" s="1"/>
  <c r="AY136" i="3"/>
  <c r="Z199" i="3"/>
  <c r="AY139" i="3"/>
  <c r="Y104" i="3"/>
  <c r="AY86" i="3"/>
  <c r="AX214" i="3"/>
  <c r="Z122" i="3"/>
  <c r="AF261" i="3"/>
  <c r="AG261" i="3" s="1"/>
  <c r="Y263" i="3"/>
  <c r="AZ214" i="3"/>
  <c r="BA214" i="3" s="1"/>
  <c r="AD214" i="3"/>
  <c r="Y261" i="3"/>
  <c r="AF66" i="3"/>
  <c r="AH66" i="3" s="1"/>
  <c r="AC117" i="3"/>
  <c r="Y162" i="3"/>
  <c r="Y241" i="3"/>
  <c r="AF263" i="3"/>
  <c r="AG263" i="3" s="1"/>
  <c r="AC99" i="3"/>
  <c r="AD117" i="3"/>
  <c r="Z162" i="3"/>
  <c r="AZ99" i="3"/>
  <c r="BB99" i="3" s="1"/>
  <c r="AD109" i="3"/>
  <c r="B96" i="1"/>
  <c r="B42" i="1" s="1"/>
  <c r="AC232" i="3"/>
  <c r="Z256" i="3"/>
  <c r="BD162" i="3"/>
  <c r="BF162" i="3" s="1"/>
  <c r="BI162" i="3" s="1"/>
  <c r="AF232" i="3"/>
  <c r="AG232" i="3" s="1"/>
  <c r="Z179" i="3"/>
  <c r="AZ232" i="3"/>
  <c r="BB232" i="3" s="1"/>
  <c r="AF179" i="3"/>
  <c r="AH179" i="3" s="1"/>
  <c r="AF256" i="3"/>
  <c r="AG256" i="3" s="1"/>
  <c r="AF74" i="3"/>
  <c r="AH74" i="3" s="1"/>
  <c r="AD122" i="3"/>
  <c r="AF122" i="3"/>
  <c r="AG122" i="3" s="1"/>
  <c r="Y248" i="3"/>
  <c r="AZ73" i="3"/>
  <c r="BD73" i="3" s="1"/>
  <c r="BF73" i="3" s="1"/>
  <c r="BI73" i="3" s="1"/>
  <c r="AF248" i="3"/>
  <c r="AG248" i="3" s="1"/>
  <c r="Y73" i="3"/>
  <c r="Y141" i="3"/>
  <c r="AF168" i="3"/>
  <c r="AG168" i="3" s="1"/>
  <c r="Z83" i="3"/>
  <c r="AD78" i="3"/>
  <c r="AD102" i="3"/>
  <c r="AD168" i="3"/>
  <c r="AC78" i="3"/>
  <c r="Y237" i="3"/>
  <c r="AC158" i="3"/>
  <c r="AC136" i="3"/>
  <c r="AD247" i="3"/>
  <c r="AD74" i="3"/>
  <c r="Z94" i="3"/>
  <c r="Y79" i="3"/>
  <c r="Z237" i="3"/>
  <c r="AC247" i="3"/>
  <c r="AF136" i="3"/>
  <c r="AH136" i="3" s="1"/>
  <c r="AD182" i="3"/>
  <c r="AF182" i="3"/>
  <c r="AH182" i="3" s="1"/>
  <c r="AZ191" i="3"/>
  <c r="BD191" i="3" s="1"/>
  <c r="BF191" i="3" s="1"/>
  <c r="BI191" i="3" s="1"/>
  <c r="AZ82" i="3"/>
  <c r="BA82" i="3" s="1"/>
  <c r="AC82" i="3"/>
  <c r="BD79" i="3"/>
  <c r="BF79" i="3" s="1"/>
  <c r="BI79" i="3" s="1"/>
  <c r="Z79" i="3"/>
  <c r="AF130" i="3"/>
  <c r="AH130" i="3" s="1"/>
  <c r="AF73" i="3"/>
  <c r="AH73" i="3" s="1"/>
  <c r="AZ247" i="3"/>
  <c r="BD247" i="3" s="1"/>
  <c r="BE247" i="3" s="1"/>
  <c r="BH247" i="3" s="1"/>
  <c r="AZ158" i="3"/>
  <c r="BD158" i="3" s="1"/>
  <c r="BF158" i="3" s="1"/>
  <c r="BI158" i="3" s="1"/>
  <c r="AZ135" i="3"/>
  <c r="BD135" i="3" s="1"/>
  <c r="BE135" i="3" s="1"/>
  <c r="BH135" i="3" s="1"/>
  <c r="Z141" i="3"/>
  <c r="AD135" i="3"/>
  <c r="AF135" i="3"/>
  <c r="AG135" i="3" s="1"/>
  <c r="AZ136" i="3"/>
  <c r="BA136" i="3" s="1"/>
  <c r="AF191" i="3"/>
  <c r="AH191" i="3" s="1"/>
  <c r="AF204" i="3"/>
  <c r="AH204" i="3" s="1"/>
  <c r="AZ148" i="3"/>
  <c r="BD148" i="3" s="1"/>
  <c r="BE148" i="3" s="1"/>
  <c r="BH148" i="3" s="1"/>
  <c r="AD191" i="3"/>
  <c r="AC148" i="3"/>
  <c r="AF174" i="3"/>
  <c r="AH174" i="3" s="1"/>
  <c r="AZ195" i="3"/>
  <c r="BB195" i="3" s="1"/>
  <c r="AF77" i="3"/>
  <c r="AH77" i="3" s="1"/>
  <c r="AD130" i="3"/>
  <c r="Z174" i="3"/>
  <c r="BD67" i="3"/>
  <c r="BE67" i="3" s="1"/>
  <c r="BH67" i="3" s="1"/>
  <c r="AD77" i="3"/>
  <c r="Y126" i="3"/>
  <c r="AC119" i="3"/>
  <c r="AF164" i="3"/>
  <c r="AG164" i="3" s="1"/>
  <c r="AF106" i="3"/>
  <c r="AH106" i="3" s="1"/>
  <c r="AX264" i="3"/>
  <c r="Y132" i="3"/>
  <c r="AF241" i="3"/>
  <c r="AG241" i="3" s="1"/>
  <c r="AD240" i="3"/>
  <c r="AC229" i="3"/>
  <c r="AC71" i="3"/>
  <c r="AC152" i="3"/>
  <c r="Y127" i="3"/>
  <c r="Z184" i="3"/>
  <c r="AB246" i="3"/>
  <c r="AF246" i="3" s="1"/>
  <c r="AH246" i="3" s="1"/>
  <c r="AC160" i="3"/>
  <c r="Z126" i="3"/>
  <c r="Y204" i="3"/>
  <c r="Z120" i="3"/>
  <c r="AZ133" i="3"/>
  <c r="BD133" i="3" s="1"/>
  <c r="AZ119" i="3"/>
  <c r="BA119" i="3" s="1"/>
  <c r="AF120" i="3"/>
  <c r="AH120" i="3" s="1"/>
  <c r="AF132" i="3"/>
  <c r="AH132" i="3" s="1"/>
  <c r="AZ201" i="3"/>
  <c r="BA201" i="3" s="1"/>
  <c r="Y245" i="3"/>
  <c r="AZ152" i="3"/>
  <c r="BB152" i="3" s="1"/>
  <c r="AD71" i="3"/>
  <c r="Z245" i="3"/>
  <c r="AC201" i="3"/>
  <c r="AZ71" i="3"/>
  <c r="BD71" i="3" s="1"/>
  <c r="BF71" i="3" s="1"/>
  <c r="BI71" i="3" s="1"/>
  <c r="AD112" i="3"/>
  <c r="AD104" i="3"/>
  <c r="AF152" i="3"/>
  <c r="AG152" i="3" s="1"/>
  <c r="Z252" i="3"/>
  <c r="AC164" i="3"/>
  <c r="BD245" i="3"/>
  <c r="BF245" i="3" s="1"/>
  <c r="BI245" i="3" s="1"/>
  <c r="BD132" i="3"/>
  <c r="BE132" i="3" s="1"/>
  <c r="BH132" i="3" s="1"/>
  <c r="AZ160" i="3"/>
  <c r="BD160" i="3" s="1"/>
  <c r="AD157" i="3"/>
  <c r="AF160" i="3"/>
  <c r="AG160" i="3" s="1"/>
  <c r="AZ157" i="3"/>
  <c r="BA157" i="3" s="1"/>
  <c r="Z118" i="3"/>
  <c r="AF118" i="3"/>
  <c r="AG118" i="3" s="1"/>
  <c r="Z170" i="3"/>
  <c r="AZ130" i="3"/>
  <c r="BD130" i="3" s="1"/>
  <c r="BF130" i="3" s="1"/>
  <c r="BI130" i="3" s="1"/>
  <c r="Y94" i="3"/>
  <c r="AF67" i="3"/>
  <c r="AH67" i="3" s="1"/>
  <c r="AF133" i="3"/>
  <c r="AG133" i="3" s="1"/>
  <c r="AC195" i="3"/>
  <c r="AF229" i="3"/>
  <c r="AG229" i="3" s="1"/>
  <c r="AF125" i="3"/>
  <c r="AH125" i="3" s="1"/>
  <c r="AD103" i="3"/>
  <c r="AZ125" i="3"/>
  <c r="BD125" i="3" s="1"/>
  <c r="BE125" i="3" s="1"/>
  <c r="BH125" i="3" s="1"/>
  <c r="AZ85" i="3"/>
  <c r="BD85" i="3" s="1"/>
  <c r="BE85" i="3" s="1"/>
  <c r="BH85" i="3" s="1"/>
  <c r="Y108" i="3"/>
  <c r="AC72" i="3"/>
  <c r="BD170" i="3"/>
  <c r="BF170" i="3" s="1"/>
  <c r="BI170" i="3" s="1"/>
  <c r="AZ200" i="3"/>
  <c r="BA200" i="3" s="1"/>
  <c r="AF218" i="3"/>
  <c r="AH218" i="3" s="1"/>
  <c r="AZ103" i="3"/>
  <c r="BA103" i="3" s="1"/>
  <c r="AC250" i="3"/>
  <c r="AF119" i="3"/>
  <c r="AH119" i="3" s="1"/>
  <c r="AC125" i="3"/>
  <c r="AD165" i="3"/>
  <c r="AD200" i="3"/>
  <c r="Y166" i="3"/>
  <c r="AC206" i="3"/>
  <c r="AF81" i="3"/>
  <c r="AH81" i="3" s="1"/>
  <c r="AF206" i="3"/>
  <c r="AH206" i="3" s="1"/>
  <c r="AF127" i="3"/>
  <c r="AH127" i="3" s="1"/>
  <c r="AD144" i="3"/>
  <c r="AF83" i="3"/>
  <c r="AH83" i="3" s="1"/>
  <c r="AF175" i="3"/>
  <c r="AH175" i="3" s="1"/>
  <c r="AF93" i="3"/>
  <c r="AG93" i="3" s="1"/>
  <c r="Z115" i="3"/>
  <c r="AF131" i="3"/>
  <c r="AG131" i="3" s="1"/>
  <c r="AF234" i="3"/>
  <c r="AG234" i="3" s="1"/>
  <c r="AC146" i="3"/>
  <c r="AD89" i="3"/>
  <c r="AD185" i="3"/>
  <c r="AZ255" i="3"/>
  <c r="BA255" i="3" s="1"/>
  <c r="Y194" i="3"/>
  <c r="AF254" i="3"/>
  <c r="AH254" i="3" s="1"/>
  <c r="AC106" i="3"/>
  <c r="AD105" i="3"/>
  <c r="Y184" i="3"/>
  <c r="Y143" i="3"/>
  <c r="AF244" i="3"/>
  <c r="AH244" i="3" s="1"/>
  <c r="Y81" i="3"/>
  <c r="AF194" i="3"/>
  <c r="AG194" i="3" s="1"/>
  <c r="AF69" i="3"/>
  <c r="AG69" i="3" s="1"/>
  <c r="AD156" i="3"/>
  <c r="AD69" i="3"/>
  <c r="AZ264" i="3"/>
  <c r="BD264" i="3" s="1"/>
  <c r="BF264" i="3" s="1"/>
  <c r="BI264" i="3" s="1"/>
  <c r="AF262" i="3"/>
  <c r="AH262" i="3" s="1"/>
  <c r="AC217" i="3"/>
  <c r="Y243" i="3"/>
  <c r="Y254" i="3"/>
  <c r="AC258" i="3"/>
  <c r="AF253" i="3"/>
  <c r="AH253" i="3" s="1"/>
  <c r="AZ217" i="3"/>
  <c r="BD217" i="3" s="1"/>
  <c r="BD81" i="3"/>
  <c r="BE81" i="3" s="1"/>
  <c r="BH81" i="3" s="1"/>
  <c r="AD255" i="3"/>
  <c r="AF243" i="3"/>
  <c r="AH243" i="3" s="1"/>
  <c r="AF235" i="3"/>
  <c r="AG235" i="3" s="1"/>
  <c r="AZ105" i="3"/>
  <c r="BD105" i="3" s="1"/>
  <c r="AF264" i="3"/>
  <c r="AG264" i="3" s="1"/>
  <c r="AC262" i="3"/>
  <c r="Z98" i="3"/>
  <c r="AD235" i="3"/>
  <c r="AF98" i="3"/>
  <c r="AH98" i="3" s="1"/>
  <c r="AC133" i="3"/>
  <c r="AD264" i="3"/>
  <c r="AZ222" i="3"/>
  <c r="BA222" i="3" s="1"/>
  <c r="Y93" i="3"/>
  <c r="AF209" i="3"/>
  <c r="AH209" i="3" s="1"/>
  <c r="AF146" i="3"/>
  <c r="AH146" i="3" s="1"/>
  <c r="AD241" i="3"/>
  <c r="Y121" i="3"/>
  <c r="AD175" i="3"/>
  <c r="AD75" i="3"/>
  <c r="AF124" i="3"/>
  <c r="AH124" i="3" s="1"/>
  <c r="AF115" i="3"/>
  <c r="AG115" i="3" s="1"/>
  <c r="AC181" i="3"/>
  <c r="AC101" i="3"/>
  <c r="AF165" i="3"/>
  <c r="AG165" i="3" s="1"/>
  <c r="AZ229" i="3"/>
  <c r="BB229" i="3" s="1"/>
  <c r="AC215" i="3"/>
  <c r="Y124" i="3"/>
  <c r="AZ104" i="3"/>
  <c r="BB104" i="3" s="1"/>
  <c r="AZ240" i="3"/>
  <c r="BA240" i="3" s="1"/>
  <c r="AZ100" i="3"/>
  <c r="BA100" i="3" s="1"/>
  <c r="AF104" i="3"/>
  <c r="AG104" i="3" s="1"/>
  <c r="AF251" i="3"/>
  <c r="AH251" i="3" s="1"/>
  <c r="AC103" i="3"/>
  <c r="AZ250" i="3"/>
  <c r="BD250" i="3" s="1"/>
  <c r="BF250" i="3" s="1"/>
  <c r="BI250" i="3" s="1"/>
  <c r="Z143" i="3"/>
  <c r="AF224" i="3"/>
  <c r="AG224" i="3" s="1"/>
  <c r="Z147" i="3"/>
  <c r="Y158" i="3"/>
  <c r="AF190" i="3"/>
  <c r="AG190" i="3" s="1"/>
  <c r="AC129" i="3"/>
  <c r="AC70" i="3"/>
  <c r="Y253" i="3"/>
  <c r="BD190" i="3"/>
  <c r="BE190" i="3" s="1"/>
  <c r="BH190" i="3" s="1"/>
  <c r="AF92" i="3"/>
  <c r="AG92" i="3" s="1"/>
  <c r="AD139" i="3"/>
  <c r="Y147" i="3"/>
  <c r="Y149" i="3"/>
  <c r="AF196" i="3"/>
  <c r="AG196" i="3" s="1"/>
  <c r="Y244" i="3"/>
  <c r="AD226" i="3"/>
  <c r="Z224" i="3"/>
  <c r="AD259" i="3"/>
  <c r="AD187" i="3"/>
  <c r="AF220" i="3"/>
  <c r="AG220" i="3" s="1"/>
  <c r="AC230" i="3"/>
  <c r="AF70" i="3"/>
  <c r="AG70" i="3" s="1"/>
  <c r="AF240" i="3"/>
  <c r="AH240" i="3" s="1"/>
  <c r="AD142" i="3"/>
  <c r="AF250" i="3"/>
  <c r="AH250" i="3" s="1"/>
  <c r="AF205" i="3"/>
  <c r="AH205" i="3" s="1"/>
  <c r="AZ139" i="3"/>
  <c r="BB139" i="3" s="1"/>
  <c r="AF149" i="3"/>
  <c r="AH149" i="3" s="1"/>
  <c r="AD196" i="3"/>
  <c r="AF222" i="3"/>
  <c r="AH222" i="3" s="1"/>
  <c r="AD222" i="3"/>
  <c r="AF72" i="3"/>
  <c r="AG72" i="3" s="1"/>
  <c r="AF158" i="3"/>
  <c r="AH158" i="3" s="1"/>
  <c r="AD257" i="3"/>
  <c r="AZ92" i="3"/>
  <c r="BB92" i="3" s="1"/>
  <c r="AF142" i="3"/>
  <c r="AG142" i="3" s="1"/>
  <c r="Z166" i="3"/>
  <c r="AZ257" i="3"/>
  <c r="BB257" i="3" s="1"/>
  <c r="AF100" i="3"/>
  <c r="AG100" i="3" s="1"/>
  <c r="AZ86" i="3"/>
  <c r="BD86" i="3" s="1"/>
  <c r="Z205" i="3"/>
  <c r="BD124" i="3"/>
  <c r="BF124" i="3" s="1"/>
  <c r="BI124" i="3" s="1"/>
  <c r="AZ169" i="3"/>
  <c r="BD169" i="3" s="1"/>
  <c r="BE169" i="3" s="1"/>
  <c r="BH169" i="3" s="1"/>
  <c r="AC100" i="3"/>
  <c r="AC87" i="3"/>
  <c r="AF215" i="3"/>
  <c r="AH215" i="3" s="1"/>
  <c r="Z251" i="3"/>
  <c r="AD228" i="3"/>
  <c r="Z220" i="3"/>
  <c r="Z190" i="3"/>
  <c r="AZ228" i="3"/>
  <c r="BB228" i="3" s="1"/>
  <c r="AZ215" i="3"/>
  <c r="BA215" i="3" s="1"/>
  <c r="AF187" i="3"/>
  <c r="AG187" i="3" s="1"/>
  <c r="AZ186" i="3"/>
  <c r="BD186" i="3" s="1"/>
  <c r="AD92" i="3"/>
  <c r="AD209" i="3"/>
  <c r="AC186" i="3"/>
  <c r="AD169" i="3"/>
  <c r="AZ187" i="3"/>
  <c r="BA187" i="3" s="1"/>
  <c r="AF150" i="3"/>
  <c r="AH150" i="3" s="1"/>
  <c r="AF80" i="3"/>
  <c r="AH80" i="3" s="1"/>
  <c r="AD219" i="3"/>
  <c r="AF169" i="3"/>
  <c r="AG169" i="3" s="1"/>
  <c r="AF193" i="3"/>
  <c r="AH193" i="3" s="1"/>
  <c r="AZ101" i="3"/>
  <c r="BA101" i="3" s="1"/>
  <c r="AC75" i="3"/>
  <c r="AF123" i="3"/>
  <c r="AG123" i="3" s="1"/>
  <c r="AF101" i="3"/>
  <c r="AG101" i="3" s="1"/>
  <c r="Z193" i="3"/>
  <c r="AF181" i="3"/>
  <c r="AH181" i="3" s="1"/>
  <c r="AD150" i="3"/>
  <c r="AF121" i="3"/>
  <c r="AH121" i="3" s="1"/>
  <c r="Z116" i="3"/>
  <c r="AF252" i="3"/>
  <c r="AG252" i="3" s="1"/>
  <c r="AZ80" i="3"/>
  <c r="BB80" i="3" s="1"/>
  <c r="AF84" i="3"/>
  <c r="AG84" i="3" s="1"/>
  <c r="AZ188" i="3"/>
  <c r="BD188" i="3" s="1"/>
  <c r="BF188" i="3" s="1"/>
  <c r="BI188" i="3" s="1"/>
  <c r="AC188" i="3"/>
  <c r="Z210" i="3"/>
  <c r="AZ219" i="3"/>
  <c r="BB219" i="3" s="1"/>
  <c r="AF173" i="3"/>
  <c r="AH173" i="3" s="1"/>
  <c r="AD239" i="3"/>
  <c r="AD145" i="3"/>
  <c r="Y116" i="3"/>
  <c r="AD86" i="3"/>
  <c r="AX73" i="3"/>
  <c r="AF167" i="3"/>
  <c r="AG167" i="3" s="1"/>
  <c r="AZ145" i="3"/>
  <c r="BB145" i="3" s="1"/>
  <c r="BD116" i="3"/>
  <c r="BF116" i="3" s="1"/>
  <c r="BI116" i="3" s="1"/>
  <c r="AD87" i="3"/>
  <c r="AD198" i="3"/>
  <c r="Z131" i="3"/>
  <c r="AD80" i="3"/>
  <c r="Z84" i="3"/>
  <c r="Y173" i="3"/>
  <c r="AZ96" i="3"/>
  <c r="BB96" i="3" s="1"/>
  <c r="Z234" i="3"/>
  <c r="AF258" i="3"/>
  <c r="AH258" i="3" s="1"/>
  <c r="AF198" i="3"/>
  <c r="AH198" i="3" s="1"/>
  <c r="AF114" i="3"/>
  <c r="AG114" i="3" s="1"/>
  <c r="AF134" i="3"/>
  <c r="AG134" i="3" s="1"/>
  <c r="AC114" i="3"/>
  <c r="AF188" i="3"/>
  <c r="AG188" i="3" s="1"/>
  <c r="Z108" i="3"/>
  <c r="Z218" i="3"/>
  <c r="Y134" i="3"/>
  <c r="Y170" i="3"/>
  <c r="Z72" i="3"/>
  <c r="AC85" i="3"/>
  <c r="AC96" i="3"/>
  <c r="AF85" i="3"/>
  <c r="AH85" i="3" s="1"/>
  <c r="AF199" i="3"/>
  <c r="AH199" i="3" s="1"/>
  <c r="AD253" i="3"/>
  <c r="AD183" i="3"/>
  <c r="AD199" i="3"/>
  <c r="Z113" i="3"/>
  <c r="Y180" i="3"/>
  <c r="AX252" i="3"/>
  <c r="AC253" i="3"/>
  <c r="Y210" i="3"/>
  <c r="BD108" i="3"/>
  <c r="BE108" i="3" s="1"/>
  <c r="BH108" i="3" s="1"/>
  <c r="Z167" i="3"/>
  <c r="AF226" i="3"/>
  <c r="AG226" i="3" s="1"/>
  <c r="AF183" i="3"/>
  <c r="AG183" i="3" s="1"/>
  <c r="AF86" i="3"/>
  <c r="AG86" i="3" s="1"/>
  <c r="AF180" i="3"/>
  <c r="AH180" i="3" s="1"/>
  <c r="Z123" i="3"/>
  <c r="BD84" i="3"/>
  <c r="BE84" i="3" s="1"/>
  <c r="BH84" i="3" s="1"/>
  <c r="AZ199" i="3"/>
  <c r="BD199" i="3" s="1"/>
  <c r="BF199" i="3" s="1"/>
  <c r="BI199" i="3" s="1"/>
  <c r="AF113" i="3"/>
  <c r="AH113" i="3" s="1"/>
  <c r="AY241" i="3"/>
  <c r="AX231" i="3"/>
  <c r="AZ231" i="3"/>
  <c r="BB231" i="3" s="1"/>
  <c r="AY134" i="3"/>
  <c r="AZ134" i="3"/>
  <c r="BD134" i="3" s="1"/>
  <c r="BE134" i="3" s="1"/>
  <c r="BH134" i="3" s="1"/>
  <c r="AZ252" i="3"/>
  <c r="BD252" i="3" s="1"/>
  <c r="BE252" i="3" s="1"/>
  <c r="BH252" i="3" s="1"/>
  <c r="AX224" i="3"/>
  <c r="AY224" i="3"/>
  <c r="Z207" i="3"/>
  <c r="AZ241" i="3"/>
  <c r="BD241" i="3" s="1"/>
  <c r="BE241" i="3" s="1"/>
  <c r="BH241" i="3" s="1"/>
  <c r="AZ87" i="3"/>
  <c r="BB87" i="3" s="1"/>
  <c r="AF207" i="3"/>
  <c r="AH207" i="3" s="1"/>
  <c r="AY251" i="3"/>
  <c r="AY87" i="3"/>
  <c r="AZ118" i="3"/>
  <c r="BD118" i="3" s="1"/>
  <c r="BF118" i="3" s="1"/>
  <c r="BI118" i="3" s="1"/>
  <c r="AZ77" i="3"/>
  <c r="BA77" i="3" s="1"/>
  <c r="AX220" i="3"/>
  <c r="AX77" i="3"/>
  <c r="AY220" i="3"/>
  <c r="AX191" i="3"/>
  <c r="AY191" i="3"/>
  <c r="AZ168" i="3"/>
  <c r="BD168" i="3" s="1"/>
  <c r="BE168" i="3" s="1"/>
  <c r="BH168" i="3" s="1"/>
  <c r="AX168" i="3"/>
  <c r="AY94" i="3"/>
  <c r="AZ150" i="3"/>
  <c r="BD150" i="3" s="1"/>
  <c r="BF150" i="3" s="1"/>
  <c r="BI150" i="3" s="1"/>
  <c r="AX251" i="3"/>
  <c r="AY118" i="3"/>
  <c r="AY229" i="3"/>
  <c r="AX150" i="3"/>
  <c r="AZ181" i="3"/>
  <c r="BA181" i="3" s="1"/>
  <c r="AZ76" i="3"/>
  <c r="BA76" i="3" s="1"/>
  <c r="AZ94" i="3"/>
  <c r="BA94" i="3" s="1"/>
  <c r="AX105" i="3"/>
  <c r="AX89" i="3"/>
  <c r="AY239" i="3"/>
  <c r="AX117" i="3"/>
  <c r="AX98" i="3"/>
  <c r="AY196" i="3"/>
  <c r="AZ117" i="3"/>
  <c r="BD117" i="3" s="1"/>
  <c r="BF117" i="3" s="1"/>
  <c r="BI117" i="3" s="1"/>
  <c r="AY98" i="3"/>
  <c r="AZ209" i="3"/>
  <c r="BD209" i="3" s="1"/>
  <c r="BF209" i="3" s="1"/>
  <c r="BI209" i="3" s="1"/>
  <c r="AY204" i="3"/>
  <c r="AZ174" i="3"/>
  <c r="BD174" i="3" s="1"/>
  <c r="AX209" i="3"/>
  <c r="AZ196" i="3"/>
  <c r="BD196" i="3" s="1"/>
  <c r="BE196" i="3" s="1"/>
  <c r="BH196" i="3" s="1"/>
  <c r="AY105" i="3"/>
  <c r="AZ204" i="3"/>
  <c r="BA204" i="3" s="1"/>
  <c r="AZ173" i="3"/>
  <c r="BD173" i="3" s="1"/>
  <c r="BF173" i="3" s="1"/>
  <c r="BI173" i="3" s="1"/>
  <c r="AF129" i="3"/>
  <c r="AH129" i="3" s="1"/>
  <c r="AZ239" i="3"/>
  <c r="BB239" i="3" s="1"/>
  <c r="AX229" i="3"/>
  <c r="AX113" i="3"/>
  <c r="AZ142" i="3"/>
  <c r="BD142" i="3" s="1"/>
  <c r="BE142" i="3" s="1"/>
  <c r="BH142" i="3" s="1"/>
  <c r="AX181" i="3"/>
  <c r="AZ244" i="3"/>
  <c r="BA244" i="3" s="1"/>
  <c r="AX76" i="3"/>
  <c r="AZ113" i="3"/>
  <c r="BB113" i="3" s="1"/>
  <c r="AX142" i="3"/>
  <c r="AZ89" i="3"/>
  <c r="BB89" i="3" s="1"/>
  <c r="AZ175" i="3"/>
  <c r="BD175" i="3" s="1"/>
  <c r="BF175" i="3" s="1"/>
  <c r="BI175" i="3" s="1"/>
  <c r="AZ72" i="3"/>
  <c r="BB72" i="3" s="1"/>
  <c r="AX173" i="3"/>
  <c r="AZ163" i="3"/>
  <c r="BD163" i="3" s="1"/>
  <c r="BE163" i="3" s="1"/>
  <c r="BH163" i="3" s="1"/>
  <c r="AY163" i="3"/>
  <c r="AY157" i="3"/>
  <c r="AY72" i="3"/>
  <c r="AY175" i="3"/>
  <c r="AY261" i="3"/>
  <c r="AX157" i="3"/>
  <c r="AZ261" i="3"/>
  <c r="BD261" i="3" s="1"/>
  <c r="BF261" i="3" s="1"/>
  <c r="BI261" i="3" s="1"/>
  <c r="AX211" i="3"/>
  <c r="AY244" i="3"/>
  <c r="AZ243" i="3"/>
  <c r="BB243" i="3" s="1"/>
  <c r="AY66" i="3"/>
  <c r="AY107" i="3"/>
  <c r="AZ221" i="3"/>
  <c r="BA221" i="3" s="1"/>
  <c r="AX174" i="3"/>
  <c r="AZ185" i="3"/>
  <c r="BA185" i="3" s="1"/>
  <c r="AY185" i="3"/>
  <c r="AX66" i="3"/>
  <c r="AZ93" i="3"/>
  <c r="BB93" i="3" s="1"/>
  <c r="AY221" i="3"/>
  <c r="AX243" i="3"/>
  <c r="AZ211" i="3"/>
  <c r="BA211" i="3" s="1"/>
  <c r="AY93" i="3"/>
  <c r="AX178" i="3"/>
  <c r="AX260" i="3"/>
  <c r="AY122" i="3"/>
  <c r="AY208" i="3"/>
  <c r="AY158" i="3"/>
  <c r="AX208" i="3"/>
  <c r="AX112" i="3"/>
  <c r="AZ112" i="3"/>
  <c r="BB112" i="3" s="1"/>
  <c r="AZ141" i="3"/>
  <c r="BD141" i="3" s="1"/>
  <c r="BF141" i="3" s="1"/>
  <c r="BI141" i="3" s="1"/>
  <c r="AZ107" i="3"/>
  <c r="BA107" i="3" s="1"/>
  <c r="AY141" i="3"/>
  <c r="AY178" i="3"/>
  <c r="AZ260" i="3"/>
  <c r="BB260" i="3" s="1"/>
  <c r="AX158" i="3"/>
  <c r="AZ256" i="3"/>
  <c r="BB256" i="3" s="1"/>
  <c r="AY171" i="3"/>
  <c r="AZ91" i="3"/>
  <c r="BD91" i="3" s="1"/>
  <c r="BE91" i="3" s="1"/>
  <c r="BH91" i="3" s="1"/>
  <c r="AX165" i="3"/>
  <c r="AZ171" i="3"/>
  <c r="BD171" i="3" s="1"/>
  <c r="BE171" i="3" s="1"/>
  <c r="BH171" i="3" s="1"/>
  <c r="AY91" i="3"/>
  <c r="AZ165" i="3"/>
  <c r="BD165" i="3" s="1"/>
  <c r="BE165" i="3" s="1"/>
  <c r="BH165" i="3" s="1"/>
  <c r="AF219" i="3"/>
  <c r="AG219" i="3" s="1"/>
  <c r="Y219" i="3"/>
  <c r="Y189" i="3"/>
  <c r="Z136" i="3"/>
  <c r="AX182" i="3"/>
  <c r="AY256" i="3"/>
  <c r="AX247" i="3"/>
  <c r="AZ182" i="3"/>
  <c r="BA182" i="3" s="1"/>
  <c r="AY172" i="3"/>
  <c r="AZ218" i="3"/>
  <c r="BB218" i="3" s="1"/>
  <c r="AZ122" i="3"/>
  <c r="BD122" i="3" s="1"/>
  <c r="AY218" i="3"/>
  <c r="AZ189" i="3"/>
  <c r="BB189" i="3" s="1"/>
  <c r="AY114" i="3"/>
  <c r="AZ198" i="3"/>
  <c r="BD198" i="3" s="1"/>
  <c r="AX202" i="3"/>
  <c r="AZ114" i="3"/>
  <c r="BA114" i="3" s="1"/>
  <c r="AX198" i="3"/>
  <c r="AY262" i="3"/>
  <c r="AX179" i="3"/>
  <c r="AZ172" i="3"/>
  <c r="BB172" i="3" s="1"/>
  <c r="AY189" i="3"/>
  <c r="AZ179" i="3"/>
  <c r="BD179" i="3" s="1"/>
  <c r="AZ227" i="3"/>
  <c r="BB227" i="3" s="1"/>
  <c r="AZ202" i="3"/>
  <c r="BA202" i="3" s="1"/>
  <c r="Z178" i="3"/>
  <c r="AF189" i="3"/>
  <c r="AG189" i="3" s="1"/>
  <c r="AZ262" i="3"/>
  <c r="BD262" i="3" s="1"/>
  <c r="AY247" i="3"/>
  <c r="AZ236" i="3"/>
  <c r="BB236" i="3" s="1"/>
  <c r="AZ126" i="3"/>
  <c r="BD126" i="3" s="1"/>
  <c r="BF126" i="3" s="1"/>
  <c r="BI126" i="3" s="1"/>
  <c r="Y136" i="3"/>
  <c r="Y178" i="3"/>
  <c r="BD178" i="3"/>
  <c r="BF178" i="3" s="1"/>
  <c r="BI178" i="3" s="1"/>
  <c r="AY210" i="3"/>
  <c r="AZ102" i="3"/>
  <c r="BD102" i="3" s="1"/>
  <c r="AX85" i="3"/>
  <c r="AZ111" i="3"/>
  <c r="BD111" i="3" s="1"/>
  <c r="BF111" i="3" s="1"/>
  <c r="BI111" i="3" s="1"/>
  <c r="AZ144" i="3"/>
  <c r="BB144" i="3" s="1"/>
  <c r="AY248" i="3"/>
  <c r="AX236" i="3"/>
  <c r="AX111" i="3"/>
  <c r="AX126" i="3"/>
  <c r="AY85" i="3"/>
  <c r="AZ248" i="3"/>
  <c r="BD248" i="3" s="1"/>
  <c r="BE248" i="3" s="1"/>
  <c r="BH248" i="3" s="1"/>
  <c r="AY127" i="3"/>
  <c r="AX146" i="3"/>
  <c r="AY78" i="3"/>
  <c r="AX144" i="3"/>
  <c r="AZ230" i="3"/>
  <c r="BB230" i="3" s="1"/>
  <c r="AX194" i="3"/>
  <c r="AZ194" i="3"/>
  <c r="BD194" i="3" s="1"/>
  <c r="BF194" i="3" s="1"/>
  <c r="BI194" i="3" s="1"/>
  <c r="AF145" i="3"/>
  <c r="AH145" i="3" s="1"/>
  <c r="AX230" i="3"/>
  <c r="AZ78" i="3"/>
  <c r="BB78" i="3" s="1"/>
  <c r="AX121" i="3"/>
  <c r="AX234" i="3"/>
  <c r="AZ127" i="3"/>
  <c r="BD127" i="3" s="1"/>
  <c r="BE127" i="3" s="1"/>
  <c r="BH127" i="3" s="1"/>
  <c r="AZ146" i="3"/>
  <c r="BD146" i="3" s="1"/>
  <c r="BF146" i="3" s="1"/>
  <c r="BI146" i="3" s="1"/>
  <c r="AZ121" i="3"/>
  <c r="BD121" i="3" s="1"/>
  <c r="BE121" i="3" s="1"/>
  <c r="BH121" i="3" s="1"/>
  <c r="AZ234" i="3"/>
  <c r="BB234" i="3" s="1"/>
  <c r="AF200" i="3"/>
  <c r="AG200" i="3" s="1"/>
  <c r="AY212" i="3"/>
  <c r="AZ183" i="3"/>
  <c r="BA183" i="3" s="1"/>
  <c r="AZ212" i="3"/>
  <c r="BA212" i="3" s="1"/>
  <c r="AX177" i="3"/>
  <c r="AX70" i="3"/>
  <c r="AX233" i="3"/>
  <c r="Y200" i="3"/>
  <c r="AX183" i="3"/>
  <c r="AY177" i="3"/>
  <c r="AZ70" i="3"/>
  <c r="BD70" i="3" s="1"/>
  <c r="BE70" i="3" s="1"/>
  <c r="BH70" i="3" s="1"/>
  <c r="AY253" i="3"/>
  <c r="AY79" i="3"/>
  <c r="AY227" i="3"/>
  <c r="AZ253" i="3"/>
  <c r="BD253" i="3" s="1"/>
  <c r="BE253" i="3" s="1"/>
  <c r="BH253" i="3" s="1"/>
  <c r="AX79" i="3"/>
  <c r="AX102" i="3"/>
  <c r="Z161" i="3"/>
  <c r="Z186" i="3"/>
  <c r="AF201" i="3"/>
  <c r="AG201" i="3" s="1"/>
  <c r="AG103" i="3"/>
  <c r="Z201" i="3"/>
  <c r="Z202" i="3"/>
  <c r="AF228" i="3"/>
  <c r="AH228" i="3" s="1"/>
  <c r="BD64" i="3"/>
  <c r="BE64" i="3" s="1"/>
  <c r="BH64" i="3" s="1"/>
  <c r="BD223" i="3"/>
  <c r="BF223" i="3" s="1"/>
  <c r="BI223" i="3" s="1"/>
  <c r="Y154" i="3"/>
  <c r="Z233" i="3"/>
  <c r="AF154" i="3"/>
  <c r="AH154" i="3" s="1"/>
  <c r="Z222" i="3"/>
  <c r="Z160" i="3"/>
  <c r="Y216" i="3"/>
  <c r="Z217" i="3"/>
  <c r="Z246" i="3"/>
  <c r="Z236" i="3"/>
  <c r="BD246" i="3"/>
  <c r="BF246" i="3" s="1"/>
  <c r="BI246" i="3" s="1"/>
  <c r="AF236" i="3"/>
  <c r="AH236" i="3" s="1"/>
  <c r="AF91" i="3"/>
  <c r="AH91" i="3" s="1"/>
  <c r="AF217" i="3"/>
  <c r="AG217" i="3" s="1"/>
  <c r="AF107" i="3"/>
  <c r="AH107" i="3" s="1"/>
  <c r="Y160" i="3"/>
  <c r="BD216" i="3"/>
  <c r="BE216" i="3" s="1"/>
  <c r="BH216" i="3" s="1"/>
  <c r="Y107" i="3"/>
  <c r="Y161" i="3"/>
  <c r="Y233" i="3"/>
  <c r="AF186" i="3"/>
  <c r="AH186" i="3" s="1"/>
  <c r="Y222" i="3"/>
  <c r="Z129" i="3"/>
  <c r="Y223" i="3"/>
  <c r="Z152" i="3"/>
  <c r="Y152" i="3"/>
  <c r="Y91" i="3"/>
  <c r="Y206" i="3"/>
  <c r="AF82" i="3"/>
  <c r="AG82" i="3" s="1"/>
  <c r="Z82" i="3"/>
  <c r="Z259" i="3"/>
  <c r="Z203" i="3"/>
  <c r="AF259" i="3"/>
  <c r="AG259" i="3" s="1"/>
  <c r="AF203" i="3"/>
  <c r="AH203" i="3" s="1"/>
  <c r="AF214" i="3"/>
  <c r="AH214" i="3" s="1"/>
  <c r="AF223" i="3"/>
  <c r="AH223" i="3" s="1"/>
  <c r="Z249" i="3"/>
  <c r="AF249" i="3"/>
  <c r="AG249" i="3" s="1"/>
  <c r="Y214" i="3"/>
  <c r="Z128" i="3"/>
  <c r="Z206" i="3"/>
  <c r="BA216" i="3"/>
  <c r="BB184" i="3"/>
  <c r="BD128" i="3"/>
  <c r="BF128" i="3" s="1"/>
  <c r="BI128" i="3" s="1"/>
  <c r="Z110" i="3"/>
  <c r="Z109" i="3"/>
  <c r="Z227" i="3"/>
  <c r="BD184" i="3"/>
  <c r="BE184" i="3" s="1"/>
  <c r="BH184" i="3" s="1"/>
  <c r="AF163" i="3"/>
  <c r="AH163" i="3" s="1"/>
  <c r="Z111" i="3"/>
  <c r="Z163" i="3"/>
  <c r="Z155" i="3"/>
  <c r="AF155" i="3"/>
  <c r="AG155" i="3" s="1"/>
  <c r="AF111" i="3"/>
  <c r="AH111" i="3" s="1"/>
  <c r="BB208" i="3"/>
  <c r="Y145" i="3"/>
  <c r="AF238" i="3"/>
  <c r="AH238" i="3" s="1"/>
  <c r="Y238" i="3"/>
  <c r="Y171" i="3"/>
  <c r="AF212" i="3"/>
  <c r="AG212" i="3" s="1"/>
  <c r="Y258" i="3"/>
  <c r="AZ210" i="3"/>
  <c r="BA210" i="3" s="1"/>
  <c r="Y128" i="3"/>
  <c r="AF109" i="3"/>
  <c r="AH109" i="3" s="1"/>
  <c r="AZ233" i="3"/>
  <c r="BD233" i="3" s="1"/>
  <c r="BF233" i="3" s="1"/>
  <c r="BI233" i="3" s="1"/>
  <c r="Y175" i="3"/>
  <c r="AF110" i="3"/>
  <c r="AH110" i="3" s="1"/>
  <c r="BD110" i="3"/>
  <c r="BF110" i="3" s="1"/>
  <c r="BI110" i="3" s="1"/>
  <c r="Z76" i="3"/>
  <c r="AF156" i="3"/>
  <c r="AG156" i="3" s="1"/>
  <c r="Y231" i="3"/>
  <c r="AY64" i="3"/>
  <c r="AX64" i="3"/>
  <c r="AX187" i="3"/>
  <c r="AY187" i="3"/>
  <c r="AX95" i="3"/>
  <c r="AZ95" i="3"/>
  <c r="AY95" i="3"/>
  <c r="BB216" i="3"/>
  <c r="AF137" i="3"/>
  <c r="AH137" i="3" s="1"/>
  <c r="AF76" i="3"/>
  <c r="AH76" i="3" s="1"/>
  <c r="Y212" i="3"/>
  <c r="Z144" i="3"/>
  <c r="Z159" i="3"/>
  <c r="Z177" i="3"/>
  <c r="Z171" i="3"/>
  <c r="AF89" i="3"/>
  <c r="AH89" i="3" s="1"/>
  <c r="BD153" i="3"/>
  <c r="BF153" i="3" s="1"/>
  <c r="BI153" i="3" s="1"/>
  <c r="AF213" i="3"/>
  <c r="AH213" i="3" s="1"/>
  <c r="Y89" i="3"/>
  <c r="Z153" i="3"/>
  <c r="Y148" i="3"/>
  <c r="Z74" i="3"/>
  <c r="Y172" i="3"/>
  <c r="Y156" i="3"/>
  <c r="Y140" i="3"/>
  <c r="Z213" i="3"/>
  <c r="Y177" i="3"/>
  <c r="AF159" i="3"/>
  <c r="AG159" i="3" s="1"/>
  <c r="AD216" i="3"/>
  <c r="AC216" i="3"/>
  <c r="AF192" i="3"/>
  <c r="AH192" i="3" s="1"/>
  <c r="Z260" i="3"/>
  <c r="Z172" i="3"/>
  <c r="Z88" i="3"/>
  <c r="AH147" i="3"/>
  <c r="BD177" i="3"/>
  <c r="BE177" i="3" s="1"/>
  <c r="BH177" i="3" s="1"/>
  <c r="BD137" i="3"/>
  <c r="BE137" i="3" s="1"/>
  <c r="BH137" i="3" s="1"/>
  <c r="BD88" i="3"/>
  <c r="BE88" i="3" s="1"/>
  <c r="BH88" i="3" s="1"/>
  <c r="Z192" i="3"/>
  <c r="Z137" i="3"/>
  <c r="Y260" i="3"/>
  <c r="AF88" i="3"/>
  <c r="AH88" i="3" s="1"/>
  <c r="BD159" i="3"/>
  <c r="BE159" i="3" s="1"/>
  <c r="BH159" i="3" s="1"/>
  <c r="AF216" i="3"/>
  <c r="Z175" i="3"/>
  <c r="Z151" i="3"/>
  <c r="AF260" i="3"/>
  <c r="AH260" i="3" s="1"/>
  <c r="Z230" i="3"/>
  <c r="Y211" i="3"/>
  <c r="Y86" i="3"/>
  <c r="AF211" i="3"/>
  <c r="AG211" i="3" s="1"/>
  <c r="Y202" i="3"/>
  <c r="AF153" i="3"/>
  <c r="AH153" i="3" s="1"/>
  <c r="Z228" i="3"/>
  <c r="Z138" i="3"/>
  <c r="Y138" i="3"/>
  <c r="Y239" i="3"/>
  <c r="Y227" i="3"/>
  <c r="Y99" i="3"/>
  <c r="BD213" i="3"/>
  <c r="BF213" i="3" s="1"/>
  <c r="BI213" i="3" s="1"/>
  <c r="AF138" i="3"/>
  <c r="AF239" i="3"/>
  <c r="AG239" i="3" s="1"/>
  <c r="Y151" i="3"/>
  <c r="Z258" i="3"/>
  <c r="AF144" i="3"/>
  <c r="AH144" i="3" s="1"/>
  <c r="Z119" i="3"/>
  <c r="AF230" i="3"/>
  <c r="AH230" i="3" s="1"/>
  <c r="AF99" i="3"/>
  <c r="AG99" i="3" s="1"/>
  <c r="Z86" i="3"/>
  <c r="AF231" i="3"/>
  <c r="Z208" i="3"/>
  <c r="AF208" i="3"/>
  <c r="Y208" i="3"/>
  <c r="AF148" i="3"/>
  <c r="AH148" i="3" s="1"/>
  <c r="Y183" i="3"/>
  <c r="Y74" i="3"/>
  <c r="AF140" i="3"/>
  <c r="AH140" i="3" s="1"/>
  <c r="Z183" i="3"/>
  <c r="Y119" i="3"/>
  <c r="BD140" i="3"/>
  <c r="BE140" i="3" s="1"/>
  <c r="BH140" i="3" s="1"/>
  <c r="BD208" i="3"/>
  <c r="BE66" i="3"/>
  <c r="BH66" i="3" s="1"/>
  <c r="AX151" i="3"/>
  <c r="AY151" i="3"/>
  <c r="AZ151" i="3"/>
  <c r="BB83" i="3"/>
  <c r="BA83" i="3"/>
  <c r="AY259" i="3"/>
  <c r="AX259" i="3"/>
  <c r="AZ259" i="3"/>
  <c r="AX206" i="3"/>
  <c r="AZ206" i="3"/>
  <c r="AY206" i="3"/>
  <c r="Y197" i="3"/>
  <c r="BD197" i="3"/>
  <c r="Z197" i="3"/>
  <c r="AF197" i="3"/>
  <c r="AG161" i="3"/>
  <c r="AH161" i="3"/>
  <c r="AF102" i="3"/>
  <c r="Y102" i="3"/>
  <c r="Z102" i="3"/>
  <c r="AH116" i="3"/>
  <c r="AG116" i="3"/>
  <c r="BA193" i="3"/>
  <c r="BB193" i="3"/>
  <c r="BD193" i="3"/>
  <c r="BA115" i="3"/>
  <c r="BB115" i="3"/>
  <c r="BA155" i="3"/>
  <c r="BB155" i="3"/>
  <c r="BA161" i="3"/>
  <c r="BB161" i="3"/>
  <c r="BA124" i="3"/>
  <c r="BB124" i="3"/>
  <c r="AG166" i="3"/>
  <c r="AH166" i="3"/>
  <c r="BD115" i="3"/>
  <c r="Y242" i="3"/>
  <c r="AF242" i="3"/>
  <c r="Z242" i="3"/>
  <c r="BD242" i="3"/>
  <c r="AH79" i="3"/>
  <c r="AG79" i="3"/>
  <c r="AH171" i="3"/>
  <c r="AG171" i="3"/>
  <c r="AX180" i="3"/>
  <c r="AZ180" i="3"/>
  <c r="AY180" i="3"/>
  <c r="Y112" i="3"/>
  <c r="AF112" i="3"/>
  <c r="Z112" i="3"/>
  <c r="AG108" i="3"/>
  <c r="AH108" i="3"/>
  <c r="BA128" i="3"/>
  <c r="BB128" i="3"/>
  <c r="AF255" i="3"/>
  <c r="Z255" i="3"/>
  <c r="Y255" i="3"/>
  <c r="BB149" i="3"/>
  <c r="BA149" i="3"/>
  <c r="BD149" i="3"/>
  <c r="AY129" i="3"/>
  <c r="AX129" i="3"/>
  <c r="AZ129" i="3"/>
  <c r="Y225" i="3"/>
  <c r="AF225" i="3"/>
  <c r="Z225" i="3"/>
  <c r="AY75" i="3"/>
  <c r="AZ75" i="3"/>
  <c r="AX75" i="3"/>
  <c r="AG237" i="3"/>
  <c r="AH237" i="3"/>
  <c r="AF257" i="3"/>
  <c r="Z257" i="3"/>
  <c r="Y257" i="3"/>
  <c r="AH202" i="3"/>
  <c r="AG202" i="3"/>
  <c r="AG141" i="3"/>
  <c r="AH141" i="3"/>
  <c r="AX120" i="3"/>
  <c r="AZ120" i="3"/>
  <c r="AY120" i="3"/>
  <c r="AG162" i="3"/>
  <c r="AH162" i="3"/>
  <c r="BA192" i="3"/>
  <c r="BB192" i="3"/>
  <c r="BD192" i="3"/>
  <c r="AH184" i="3"/>
  <c r="AG184" i="3"/>
  <c r="AG151" i="3"/>
  <c r="AH151" i="3"/>
  <c r="AF96" i="3"/>
  <c r="Y96" i="3"/>
  <c r="Z96" i="3"/>
  <c r="AY164" i="3"/>
  <c r="AX164" i="3"/>
  <c r="AZ164" i="3"/>
  <c r="AH126" i="3"/>
  <c r="AG126" i="3"/>
  <c r="AH128" i="3"/>
  <c r="AG128" i="3"/>
  <c r="BD90" i="3"/>
  <c r="AF90" i="3"/>
  <c r="Y90" i="3"/>
  <c r="Z90" i="3"/>
  <c r="AZ106" i="3"/>
  <c r="AX106" i="3"/>
  <c r="AY106" i="3"/>
  <c r="Y221" i="3"/>
  <c r="AF221" i="3"/>
  <c r="Z221" i="3"/>
  <c r="AF105" i="3"/>
  <c r="Z105" i="3"/>
  <c r="Y105" i="3"/>
  <c r="AY226" i="3"/>
  <c r="AZ226" i="3"/>
  <c r="AX226" i="3"/>
  <c r="BA110" i="3"/>
  <c r="BB110" i="3"/>
  <c r="BA159" i="3"/>
  <c r="BB159" i="3"/>
  <c r="BB177" i="3"/>
  <c r="BA177" i="3"/>
  <c r="BA263" i="3"/>
  <c r="BB263" i="3"/>
  <c r="BD263" i="3"/>
  <c r="BB88" i="3"/>
  <c r="BA88" i="3"/>
  <c r="BB178" i="3"/>
  <c r="BA178" i="3"/>
  <c r="BA116" i="3"/>
  <c r="BB116" i="3"/>
  <c r="BA224" i="3"/>
  <c r="BB224" i="3"/>
  <c r="BD224" i="3"/>
  <c r="BA197" i="3"/>
  <c r="BB197" i="3"/>
  <c r="BA220" i="3"/>
  <c r="BB220" i="3"/>
  <c r="AH247" i="3"/>
  <c r="AG247" i="3"/>
  <c r="BB205" i="3"/>
  <c r="BA205" i="3"/>
  <c r="BB137" i="3"/>
  <c r="BA137" i="3"/>
  <c r="AY235" i="3"/>
  <c r="AX235" i="3"/>
  <c r="AZ235" i="3"/>
  <c r="AF97" i="3"/>
  <c r="Z97" i="3"/>
  <c r="Y97" i="3"/>
  <c r="Y195" i="3"/>
  <c r="Z195" i="3"/>
  <c r="AF195" i="3"/>
  <c r="AX225" i="3"/>
  <c r="AY225" i="3"/>
  <c r="AZ225" i="3"/>
  <c r="BD225" i="3" s="1"/>
  <c r="AH95" i="3"/>
  <c r="AG95" i="3"/>
  <c r="AH172" i="3"/>
  <c r="AG172" i="3"/>
  <c r="AZ203" i="3"/>
  <c r="AX203" i="3"/>
  <c r="AY203" i="3"/>
  <c r="Y157" i="3"/>
  <c r="AF157" i="3"/>
  <c r="Z157" i="3"/>
  <c r="AF185" i="3"/>
  <c r="Z185" i="3"/>
  <c r="Y185" i="3"/>
  <c r="BD161" i="3"/>
  <c r="AF176" i="3"/>
  <c r="Z176" i="3"/>
  <c r="Y176" i="3"/>
  <c r="AH177" i="3"/>
  <c r="AG177" i="3"/>
  <c r="BA249" i="3"/>
  <c r="BB249" i="3"/>
  <c r="BD249" i="3"/>
  <c r="BB123" i="3"/>
  <c r="BA123" i="3"/>
  <c r="BD123" i="3"/>
  <c r="AD218" i="3"/>
  <c r="AC218" i="3"/>
  <c r="AG143" i="3"/>
  <c r="AH143" i="3"/>
  <c r="BB64" i="3"/>
  <c r="BA64" i="3"/>
  <c r="BA108" i="3"/>
  <c r="BB108" i="3"/>
  <c r="BB98" i="3"/>
  <c r="BA98" i="3"/>
  <c r="BD98" i="3"/>
  <c r="AC115" i="3"/>
  <c r="AD115" i="3"/>
  <c r="BB84" i="3"/>
  <c r="BA84" i="3"/>
  <c r="BD205" i="3"/>
  <c r="BB166" i="3"/>
  <c r="BA166" i="3"/>
  <c r="AH94" i="3"/>
  <c r="AG94" i="3"/>
  <c r="AH178" i="3"/>
  <c r="AG178" i="3"/>
  <c r="BD166" i="3"/>
  <c r="BD155" i="3"/>
  <c r="BA251" i="3"/>
  <c r="BB251" i="3"/>
  <c r="BD251" i="3"/>
  <c r="BA190" i="3"/>
  <c r="BB190" i="3"/>
  <c r="AH233" i="3"/>
  <c r="AG233" i="3"/>
  <c r="BA162" i="3"/>
  <c r="BB162" i="3"/>
  <c r="AZ167" i="3"/>
  <c r="AX167" i="3"/>
  <c r="AY167" i="3"/>
  <c r="AX143" i="3"/>
  <c r="AY143" i="3"/>
  <c r="AZ143" i="3"/>
  <c r="AY258" i="3"/>
  <c r="AZ258" i="3"/>
  <c r="AX258" i="3"/>
  <c r="BD220" i="3"/>
  <c r="AF139" i="3"/>
  <c r="Z139" i="3"/>
  <c r="Y139" i="3"/>
  <c r="BD83" i="3"/>
  <c r="AH210" i="3"/>
  <c r="AG210" i="3"/>
  <c r="AY74" i="3"/>
  <c r="AX74" i="3"/>
  <c r="AZ74" i="3"/>
  <c r="BB207" i="3"/>
  <c r="BA207" i="3"/>
  <c r="BD207" i="3"/>
  <c r="BB170" i="3"/>
  <c r="BA170" i="3"/>
  <c r="BB213" i="3"/>
  <c r="BA213" i="3"/>
  <c r="BA223" i="3"/>
  <c r="BB223" i="3"/>
  <c r="BA154" i="3"/>
  <c r="BB154" i="3"/>
  <c r="AY131" i="3"/>
  <c r="AX131" i="3"/>
  <c r="AZ131" i="3"/>
  <c r="AG227" i="3"/>
  <c r="AH227" i="3"/>
  <c r="AG245" i="3"/>
  <c r="AH245" i="3"/>
  <c r="AX109" i="3"/>
  <c r="AY109" i="3"/>
  <c r="AZ109" i="3"/>
  <c r="AY237" i="3"/>
  <c r="AX237" i="3"/>
  <c r="AZ237" i="3"/>
  <c r="AX147" i="3"/>
  <c r="AY147" i="3"/>
  <c r="AZ147" i="3"/>
  <c r="AZ69" i="3"/>
  <c r="AY69" i="3"/>
  <c r="AX69" i="3"/>
  <c r="AY156" i="3"/>
  <c r="AZ156" i="3"/>
  <c r="AX156" i="3"/>
  <c r="AZ254" i="3"/>
  <c r="AX254" i="3"/>
  <c r="AY254" i="3"/>
  <c r="BB153" i="3"/>
  <c r="BA153" i="3"/>
  <c r="BA79" i="3"/>
  <c r="BB79" i="3"/>
  <c r="BB90" i="3"/>
  <c r="BA90" i="3"/>
  <c r="BA238" i="3"/>
  <c r="BB238" i="3"/>
  <c r="BD238" i="3"/>
  <c r="AH170" i="3"/>
  <c r="AG170" i="3"/>
  <c r="AD64" i="3"/>
  <c r="AC64" i="3"/>
  <c r="BA246" i="3"/>
  <c r="BB246" i="3"/>
  <c r="BA242" i="3"/>
  <c r="BB242" i="3"/>
  <c r="BD154" i="3"/>
  <c r="BB245" i="3"/>
  <c r="BA245" i="3"/>
  <c r="BA132" i="3"/>
  <c r="BB132" i="3"/>
  <c r="BB81" i="3"/>
  <c r="BA81" i="3"/>
  <c r="AF64" i="3"/>
  <c r="BA140" i="3"/>
  <c r="BB140" i="3"/>
  <c r="BA138" i="3"/>
  <c r="BB138" i="3"/>
  <c r="BD138" i="3"/>
  <c r="AG87" i="3" l="1"/>
  <c r="BB66" i="3"/>
  <c r="BA67" i="3"/>
  <c r="AG78" i="3"/>
  <c r="BA66" i="3"/>
  <c r="AH71" i="3"/>
  <c r="AH117" i="3"/>
  <c r="AZ65" i="3"/>
  <c r="BA65" i="3" s="1"/>
  <c r="AH261" i="3"/>
  <c r="AZ68" i="3"/>
  <c r="BD68" i="3" s="1"/>
  <c r="BF68" i="3" s="1"/>
  <c r="BI68" i="3" s="1"/>
  <c r="AD65" i="3"/>
  <c r="AC65" i="3"/>
  <c r="AF65" i="3"/>
  <c r="AG65" i="3" s="1"/>
  <c r="AC68" i="3"/>
  <c r="AD68" i="3"/>
  <c r="AF68" i="3"/>
  <c r="AG68" i="3" s="1"/>
  <c r="AH75" i="3"/>
  <c r="BD97" i="3"/>
  <c r="BF97" i="3" s="1"/>
  <c r="BI97" i="3" s="1"/>
  <c r="BA97" i="3"/>
  <c r="BD176" i="3"/>
  <c r="BE176" i="3" s="1"/>
  <c r="BH176" i="3" s="1"/>
  <c r="BA176" i="3"/>
  <c r="AG66" i="3"/>
  <c r="BD214" i="3"/>
  <c r="BE214" i="3" s="1"/>
  <c r="BH214" i="3" s="1"/>
  <c r="BB214" i="3"/>
  <c r="AH263" i="3"/>
  <c r="AG74" i="3"/>
  <c r="BA232" i="3"/>
  <c r="BD99" i="3"/>
  <c r="BF99" i="3" s="1"/>
  <c r="BI99" i="3" s="1"/>
  <c r="BA99" i="3"/>
  <c r="BE162" i="3"/>
  <c r="BH162" i="3" s="1"/>
  <c r="AH256" i="3"/>
  <c r="BD232" i="3"/>
  <c r="BF232" i="3" s="1"/>
  <c r="BI232" i="3" s="1"/>
  <c r="AH232" i="3"/>
  <c r="AG179" i="3"/>
  <c r="AH122" i="3"/>
  <c r="AG182" i="3"/>
  <c r="BD200" i="3"/>
  <c r="BE200" i="3" s="1"/>
  <c r="BH200" i="3" s="1"/>
  <c r="BE191" i="3"/>
  <c r="BH191" i="3" s="1"/>
  <c r="AH248" i="3"/>
  <c r="BD201" i="3"/>
  <c r="BE201" i="3" s="1"/>
  <c r="BH201" i="3" s="1"/>
  <c r="AH164" i="3"/>
  <c r="AG262" i="3"/>
  <c r="BF135" i="3"/>
  <c r="BI135" i="3" s="1"/>
  <c r="BD136" i="3"/>
  <c r="BF136" i="3" s="1"/>
  <c r="BI136" i="3" s="1"/>
  <c r="AG191" i="3"/>
  <c r="AH241" i="3"/>
  <c r="BA73" i="3"/>
  <c r="BB73" i="3"/>
  <c r="AG77" i="3"/>
  <c r="AC246" i="3"/>
  <c r="AG73" i="3"/>
  <c r="BB247" i="3"/>
  <c r="AH168" i="3"/>
  <c r="BE158" i="3"/>
  <c r="BH158" i="3" s="1"/>
  <c r="BB82" i="3"/>
  <c r="BA135" i="3"/>
  <c r="BB158" i="3"/>
  <c r="AH135" i="3"/>
  <c r="BB191" i="3"/>
  <c r="AG130" i="3"/>
  <c r="BA158" i="3"/>
  <c r="BA191" i="3"/>
  <c r="BE73" i="3"/>
  <c r="BH73" i="3" s="1"/>
  <c r="BD82" i="3"/>
  <c r="BF82" i="3" s="1"/>
  <c r="BI82" i="3" s="1"/>
  <c r="AG204" i="3"/>
  <c r="BD195" i="3"/>
  <c r="BE195" i="3" s="1"/>
  <c r="BH195" i="3" s="1"/>
  <c r="AG136" i="3"/>
  <c r="BF247" i="3"/>
  <c r="BI247" i="3" s="1"/>
  <c r="BB136" i="3"/>
  <c r="BA195" i="3"/>
  <c r="BB135" i="3"/>
  <c r="BE79" i="3"/>
  <c r="BH79" i="3" s="1"/>
  <c r="BA247" i="3"/>
  <c r="AG174" i="3"/>
  <c r="BB148" i="3"/>
  <c r="BA148" i="3"/>
  <c r="BE130" i="3"/>
  <c r="BH130" i="3" s="1"/>
  <c r="BF67" i="3"/>
  <c r="BI67" i="3" s="1"/>
  <c r="BA130" i="3"/>
  <c r="AG106" i="3"/>
  <c r="AH226" i="3"/>
  <c r="BD100" i="3"/>
  <c r="BE100" i="3" s="1"/>
  <c r="BH100" i="3" s="1"/>
  <c r="BB255" i="3"/>
  <c r="BF132" i="3"/>
  <c r="BI132" i="3" s="1"/>
  <c r="BB71" i="3"/>
  <c r="BA152" i="3"/>
  <c r="BB200" i="3"/>
  <c r="BB160" i="3"/>
  <c r="AG175" i="3"/>
  <c r="AG120" i="3"/>
  <c r="BF190" i="3"/>
  <c r="BI190" i="3" s="1"/>
  <c r="AH235" i="3"/>
  <c r="BD152" i="3"/>
  <c r="BE152" i="3" s="1"/>
  <c r="BH152" i="3" s="1"/>
  <c r="AG83" i="3"/>
  <c r="AG193" i="3"/>
  <c r="BF85" i="3"/>
  <c r="BI85" i="3" s="1"/>
  <c r="BA160" i="3"/>
  <c r="AD246" i="3"/>
  <c r="BD222" i="3"/>
  <c r="BF222" i="3" s="1"/>
  <c r="BI222" i="3" s="1"/>
  <c r="AG206" i="3"/>
  <c r="BA71" i="3"/>
  <c r="BE71" i="3"/>
  <c r="BH71" i="3" s="1"/>
  <c r="BF81" i="3"/>
  <c r="BI81" i="3" s="1"/>
  <c r="BA217" i="3"/>
  <c r="BA85" i="3"/>
  <c r="AG127" i="3"/>
  <c r="AH229" i="3"/>
  <c r="AG132" i="3"/>
  <c r="BB105" i="3"/>
  <c r="BB85" i="3"/>
  <c r="AH72" i="3"/>
  <c r="BA125" i="3"/>
  <c r="BA250" i="3"/>
  <c r="BD119" i="3"/>
  <c r="BE119" i="3" s="1"/>
  <c r="BH119" i="3" s="1"/>
  <c r="AG253" i="3"/>
  <c r="BB103" i="3"/>
  <c r="BE250" i="3"/>
  <c r="BH250" i="3" s="1"/>
  <c r="BD157" i="3"/>
  <c r="BE157" i="3" s="1"/>
  <c r="BH157" i="3" s="1"/>
  <c r="BB119" i="3"/>
  <c r="BA133" i="3"/>
  <c r="BB130" i="3"/>
  <c r="AH152" i="3"/>
  <c r="BD103" i="3"/>
  <c r="BF103" i="3" s="1"/>
  <c r="BI103" i="3" s="1"/>
  <c r="BB157" i="3"/>
  <c r="AG81" i="3"/>
  <c r="BF125" i="3"/>
  <c r="BI125" i="3" s="1"/>
  <c r="BE170" i="3"/>
  <c r="BH170" i="3" s="1"/>
  <c r="BB125" i="3"/>
  <c r="AG244" i="3"/>
  <c r="BB133" i="3"/>
  <c r="BE245" i="3"/>
  <c r="BH245" i="3" s="1"/>
  <c r="AH69" i="3"/>
  <c r="BB201" i="3"/>
  <c r="BB222" i="3"/>
  <c r="BB188" i="3"/>
  <c r="AG67" i="3"/>
  <c r="AH160" i="3"/>
  <c r="AG125" i="3"/>
  <c r="AG218" i="3"/>
  <c r="BD228" i="3"/>
  <c r="BF228" i="3" s="1"/>
  <c r="BI228" i="3" s="1"/>
  <c r="AH118" i="3"/>
  <c r="AH100" i="3"/>
  <c r="BD104" i="3"/>
  <c r="BE104" i="3" s="1"/>
  <c r="BH104" i="3" s="1"/>
  <c r="BA105" i="3"/>
  <c r="BB186" i="3"/>
  <c r="AH194" i="3"/>
  <c r="AG119" i="3"/>
  <c r="AG258" i="3"/>
  <c r="AH169" i="3"/>
  <c r="AH93" i="3"/>
  <c r="AH133" i="3"/>
  <c r="BD92" i="3"/>
  <c r="BE92" i="3" s="1"/>
  <c r="BH92" i="3" s="1"/>
  <c r="BD229" i="3"/>
  <c r="BE229" i="3" s="1"/>
  <c r="BH229" i="3" s="1"/>
  <c r="AH264" i="3"/>
  <c r="BE124" i="3"/>
  <c r="BH124" i="3" s="1"/>
  <c r="BB101" i="3"/>
  <c r="BE264" i="3"/>
  <c r="BH264" i="3" s="1"/>
  <c r="BB217" i="3"/>
  <c r="AH220" i="3"/>
  <c r="BB100" i="3"/>
  <c r="BD255" i="3"/>
  <c r="BE255" i="3" s="1"/>
  <c r="BH255" i="3" s="1"/>
  <c r="AH234" i="3"/>
  <c r="AG243" i="3"/>
  <c r="AG149" i="3"/>
  <c r="BA80" i="3"/>
  <c r="BA86" i="3"/>
  <c r="AH131" i="3"/>
  <c r="AG240" i="3"/>
  <c r="BD240" i="3"/>
  <c r="BE240" i="3" s="1"/>
  <c r="BH240" i="3" s="1"/>
  <c r="BA228" i="3"/>
  <c r="AG254" i="3"/>
  <c r="AG98" i="3"/>
  <c r="BA104" i="3"/>
  <c r="BA169" i="3"/>
  <c r="BA229" i="3"/>
  <c r="AG173" i="3"/>
  <c r="BA257" i="3"/>
  <c r="BA139" i="3"/>
  <c r="AG124" i="3"/>
  <c r="BB240" i="3"/>
  <c r="AH115" i="3"/>
  <c r="BB264" i="3"/>
  <c r="AH165" i="3"/>
  <c r="AH252" i="3"/>
  <c r="BD139" i="3"/>
  <c r="BE139" i="3" s="1"/>
  <c r="BH139" i="3" s="1"/>
  <c r="BA264" i="3"/>
  <c r="AG215" i="3"/>
  <c r="AG251" i="3"/>
  <c r="AG250" i="3"/>
  <c r="AG209" i="3"/>
  <c r="BB250" i="3"/>
  <c r="AG80" i="3"/>
  <c r="AH190" i="3"/>
  <c r="AG158" i="3"/>
  <c r="AG146" i="3"/>
  <c r="AH104" i="3"/>
  <c r="BF84" i="3"/>
  <c r="BI84" i="3" s="1"/>
  <c r="BB215" i="3"/>
  <c r="AH167" i="3"/>
  <c r="BA219" i="3"/>
  <c r="AG85" i="3"/>
  <c r="AH123" i="3"/>
  <c r="BA239" i="3"/>
  <c r="BE188" i="3"/>
  <c r="BH188" i="3" s="1"/>
  <c r="AH224" i="3"/>
  <c r="AH187" i="3"/>
  <c r="AH196" i="3"/>
  <c r="BE116" i="3"/>
  <c r="BH116" i="3" s="1"/>
  <c r="AH134" i="3"/>
  <c r="AH70" i="3"/>
  <c r="BA231" i="3"/>
  <c r="BD101" i="3"/>
  <c r="BE101" i="3" s="1"/>
  <c r="BH101" i="3" s="1"/>
  <c r="AH114" i="3"/>
  <c r="AG205" i="3"/>
  <c r="AH92" i="3"/>
  <c r="AH101" i="3"/>
  <c r="AG222" i="3"/>
  <c r="BA186" i="3"/>
  <c r="BA188" i="3"/>
  <c r="BD257" i="3"/>
  <c r="BF257" i="3" s="1"/>
  <c r="BI257" i="3" s="1"/>
  <c r="BA145" i="3"/>
  <c r="AH188" i="3"/>
  <c r="BB86" i="3"/>
  <c r="AG198" i="3"/>
  <c r="BD80" i="3"/>
  <c r="BF80" i="3" s="1"/>
  <c r="BI80" i="3" s="1"/>
  <c r="BB169" i="3"/>
  <c r="AH142" i="3"/>
  <c r="BD215" i="3"/>
  <c r="BE215" i="3" s="1"/>
  <c r="BH215" i="3" s="1"/>
  <c r="BA92" i="3"/>
  <c r="BF169" i="3"/>
  <c r="BI169" i="3" s="1"/>
  <c r="BD187" i="3"/>
  <c r="BE187" i="3" s="1"/>
  <c r="BH187" i="3" s="1"/>
  <c r="AG150" i="3"/>
  <c r="BB187" i="3"/>
  <c r="AG181" i="3"/>
  <c r="AG180" i="3"/>
  <c r="BD219" i="3"/>
  <c r="BF219" i="3" s="1"/>
  <c r="BI219" i="3" s="1"/>
  <c r="BF134" i="3"/>
  <c r="BI134" i="3" s="1"/>
  <c r="AG121" i="3"/>
  <c r="AH183" i="3"/>
  <c r="BA96" i="3"/>
  <c r="AG199" i="3"/>
  <c r="AH84" i="3"/>
  <c r="BD145" i="3"/>
  <c r="BF145" i="3" s="1"/>
  <c r="BI145" i="3" s="1"/>
  <c r="BD96" i="3"/>
  <c r="BE96" i="3" s="1"/>
  <c r="BH96" i="3" s="1"/>
  <c r="AH86" i="3"/>
  <c r="AG113" i="3"/>
  <c r="BF108" i="3"/>
  <c r="BI108" i="3" s="1"/>
  <c r="BE199" i="3"/>
  <c r="BH199" i="3" s="1"/>
  <c r="BB199" i="3"/>
  <c r="BA199" i="3"/>
  <c r="BD231" i="3"/>
  <c r="BE231" i="3" s="1"/>
  <c r="BH231" i="3" s="1"/>
  <c r="BB134" i="3"/>
  <c r="BB252" i="3"/>
  <c r="BF252" i="3"/>
  <c r="BI252" i="3" s="1"/>
  <c r="BA252" i="3"/>
  <c r="BA134" i="3"/>
  <c r="BA87" i="3"/>
  <c r="BA241" i="3"/>
  <c r="BF241" i="3"/>
  <c r="BI241" i="3" s="1"/>
  <c r="BB241" i="3"/>
  <c r="BD87" i="3"/>
  <c r="BE87" i="3" s="1"/>
  <c r="BH87" i="3" s="1"/>
  <c r="AG207" i="3"/>
  <c r="BE118" i="3"/>
  <c r="BH118" i="3" s="1"/>
  <c r="BD77" i="3"/>
  <c r="BF77" i="3" s="1"/>
  <c r="BI77" i="3" s="1"/>
  <c r="BB77" i="3"/>
  <c r="BB118" i="3"/>
  <c r="BA118" i="3"/>
  <c r="BD181" i="3"/>
  <c r="BE181" i="3" s="1"/>
  <c r="BH181" i="3" s="1"/>
  <c r="BE150" i="3"/>
  <c r="BH150" i="3" s="1"/>
  <c r="BB150" i="3"/>
  <c r="BF168" i="3"/>
  <c r="BI168" i="3" s="1"/>
  <c r="BB94" i="3"/>
  <c r="BB181" i="3"/>
  <c r="BA168" i="3"/>
  <c r="BD94" i="3"/>
  <c r="BE94" i="3" s="1"/>
  <c r="BH94" i="3" s="1"/>
  <c r="BB168" i="3"/>
  <c r="BD76" i="3"/>
  <c r="BF76" i="3" s="1"/>
  <c r="BI76" i="3" s="1"/>
  <c r="BA150" i="3"/>
  <c r="BA174" i="3"/>
  <c r="BB76" i="3"/>
  <c r="BD113" i="3"/>
  <c r="BE113" i="3" s="1"/>
  <c r="BH113" i="3" s="1"/>
  <c r="BE209" i="3"/>
  <c r="BH209" i="3" s="1"/>
  <c r="BF196" i="3"/>
  <c r="BI196" i="3" s="1"/>
  <c r="BF142" i="3"/>
  <c r="BI142" i="3" s="1"/>
  <c r="BE173" i="3"/>
  <c r="BH173" i="3" s="1"/>
  <c r="BB173" i="3"/>
  <c r="BA117" i="3"/>
  <c r="BE117" i="3"/>
  <c r="BH117" i="3" s="1"/>
  <c r="BD244" i="3"/>
  <c r="BE244" i="3" s="1"/>
  <c r="BH244" i="3" s="1"/>
  <c r="BA89" i="3"/>
  <c r="BB163" i="3"/>
  <c r="BB204" i="3"/>
  <c r="BD89" i="3"/>
  <c r="BE89" i="3" s="1"/>
  <c r="BH89" i="3" s="1"/>
  <c r="AG129" i="3"/>
  <c r="BB196" i="3"/>
  <c r="BB209" i="3"/>
  <c r="BB142" i="3"/>
  <c r="BA196" i="3"/>
  <c r="BA113" i="3"/>
  <c r="BB174" i="3"/>
  <c r="BA209" i="3"/>
  <c r="BD204" i="3"/>
  <c r="BF204" i="3" s="1"/>
  <c r="BI204" i="3" s="1"/>
  <c r="BB117" i="3"/>
  <c r="BB244" i="3"/>
  <c r="BA173" i="3"/>
  <c r="BA175" i="3"/>
  <c r="BD239" i="3"/>
  <c r="BE239" i="3" s="1"/>
  <c r="BH239" i="3" s="1"/>
  <c r="BA171" i="3"/>
  <c r="BD211" i="3"/>
  <c r="BF211" i="3" s="1"/>
  <c r="BI211" i="3" s="1"/>
  <c r="BA163" i="3"/>
  <c r="BA142" i="3"/>
  <c r="AH219" i="3"/>
  <c r="BA261" i="3"/>
  <c r="BD185" i="3"/>
  <c r="BE185" i="3" s="1"/>
  <c r="BH185" i="3" s="1"/>
  <c r="BD221" i="3"/>
  <c r="BE221" i="3" s="1"/>
  <c r="BH221" i="3" s="1"/>
  <c r="BA256" i="3"/>
  <c r="BB211" i="3"/>
  <c r="BB175" i="3"/>
  <c r="BB221" i="3"/>
  <c r="BD72" i="3"/>
  <c r="BE72" i="3" s="1"/>
  <c r="BH72" i="3" s="1"/>
  <c r="BA72" i="3"/>
  <c r="BE261" i="3"/>
  <c r="BH261" i="3" s="1"/>
  <c r="BA243" i="3"/>
  <c r="BD93" i="3"/>
  <c r="BF93" i="3" s="1"/>
  <c r="BI93" i="3" s="1"/>
  <c r="BA93" i="3"/>
  <c r="BD256" i="3"/>
  <c r="BE256" i="3" s="1"/>
  <c r="BH256" i="3" s="1"/>
  <c r="BB261" i="3"/>
  <c r="BD243" i="3"/>
  <c r="BE243" i="3" s="1"/>
  <c r="BH243" i="3" s="1"/>
  <c r="BB185" i="3"/>
  <c r="BB107" i="3"/>
  <c r="BD112" i="3"/>
  <c r="BF112" i="3" s="1"/>
  <c r="BI112" i="3" s="1"/>
  <c r="BE141" i="3"/>
  <c r="BH141" i="3" s="1"/>
  <c r="BA112" i="3"/>
  <c r="BB141" i="3"/>
  <c r="BD172" i="3"/>
  <c r="BF172" i="3" s="1"/>
  <c r="BI172" i="3" s="1"/>
  <c r="BD107" i="3"/>
  <c r="BE107" i="3" s="1"/>
  <c r="BH107" i="3" s="1"/>
  <c r="BF165" i="3"/>
  <c r="BI165" i="3" s="1"/>
  <c r="BA141" i="3"/>
  <c r="BB91" i="3"/>
  <c r="BB165" i="3"/>
  <c r="BD260" i="3"/>
  <c r="BF260" i="3" s="1"/>
  <c r="BI260" i="3" s="1"/>
  <c r="BA260" i="3"/>
  <c r="BA91" i="3"/>
  <c r="BA165" i="3"/>
  <c r="BB171" i="3"/>
  <c r="BD227" i="3"/>
  <c r="BE227" i="3" s="1"/>
  <c r="BH227" i="3" s="1"/>
  <c r="BB182" i="3"/>
  <c r="BD182" i="3"/>
  <c r="BE182" i="3" s="1"/>
  <c r="BH182" i="3" s="1"/>
  <c r="AH249" i="3"/>
  <c r="BD144" i="3"/>
  <c r="BF144" i="3" s="1"/>
  <c r="BI144" i="3" s="1"/>
  <c r="BD218" i="3"/>
  <c r="BF218" i="3" s="1"/>
  <c r="BI218" i="3" s="1"/>
  <c r="BA218" i="3"/>
  <c r="BB122" i="3"/>
  <c r="BA179" i="3"/>
  <c r="BA198" i="3"/>
  <c r="BA122" i="3"/>
  <c r="BB198" i="3"/>
  <c r="BB179" i="3"/>
  <c r="BA189" i="3"/>
  <c r="BD189" i="3"/>
  <c r="BE189" i="3" s="1"/>
  <c r="BH189" i="3" s="1"/>
  <c r="BB202" i="3"/>
  <c r="BA172" i="3"/>
  <c r="BB114" i="3"/>
  <c r="BD114" i="3"/>
  <c r="BE114" i="3" s="1"/>
  <c r="BH114" i="3" s="1"/>
  <c r="BA102" i="3"/>
  <c r="BB102" i="3"/>
  <c r="BA227" i="3"/>
  <c r="BA262" i="3"/>
  <c r="BD202" i="3"/>
  <c r="BF202" i="3" s="1"/>
  <c r="BI202" i="3" s="1"/>
  <c r="BB262" i="3"/>
  <c r="BA236" i="3"/>
  <c r="BD183" i="3"/>
  <c r="BE183" i="3" s="1"/>
  <c r="BH183" i="3" s="1"/>
  <c r="BD236" i="3"/>
  <c r="BF236" i="3" s="1"/>
  <c r="BI236" i="3" s="1"/>
  <c r="BA126" i="3"/>
  <c r="AH189" i="3"/>
  <c r="BA144" i="3"/>
  <c r="BE178" i="3"/>
  <c r="BH178" i="3" s="1"/>
  <c r="BE126" i="3"/>
  <c r="BH126" i="3" s="1"/>
  <c r="BB126" i="3"/>
  <c r="BB248" i="3"/>
  <c r="BB212" i="3"/>
  <c r="BD230" i="3"/>
  <c r="BE230" i="3" s="1"/>
  <c r="BH230" i="3" s="1"/>
  <c r="BA111" i="3"/>
  <c r="BB111" i="3"/>
  <c r="BA230" i="3"/>
  <c r="BF248" i="3"/>
  <c r="BI248" i="3" s="1"/>
  <c r="BA248" i="3"/>
  <c r="BD234" i="3"/>
  <c r="BF234" i="3" s="1"/>
  <c r="BI234" i="3" s="1"/>
  <c r="BA234" i="3"/>
  <c r="AG145" i="3"/>
  <c r="BF127" i="3"/>
  <c r="BI127" i="3" s="1"/>
  <c r="BB194" i="3"/>
  <c r="BB146" i="3"/>
  <c r="BE146" i="3"/>
  <c r="BH146" i="3" s="1"/>
  <c r="BA78" i="3"/>
  <c r="BA146" i="3"/>
  <c r="BE194" i="3"/>
  <c r="BH194" i="3" s="1"/>
  <c r="BF121" i="3"/>
  <c r="BI121" i="3" s="1"/>
  <c r="BD78" i="3"/>
  <c r="BE78" i="3" s="1"/>
  <c r="BH78" i="3" s="1"/>
  <c r="BB121" i="3"/>
  <c r="BA194" i="3"/>
  <c r="BA121" i="3"/>
  <c r="BA127" i="3"/>
  <c r="AH200" i="3"/>
  <c r="BB127" i="3"/>
  <c r="BD212" i="3"/>
  <c r="BF212" i="3" s="1"/>
  <c r="BI212" i="3" s="1"/>
  <c r="BB183" i="3"/>
  <c r="BF70" i="3"/>
  <c r="BI70" i="3" s="1"/>
  <c r="BA70" i="3"/>
  <c r="AH201" i="3"/>
  <c r="BB70" i="3"/>
  <c r="BA253" i="3"/>
  <c r="BB253" i="3"/>
  <c r="BF91" i="3"/>
  <c r="BI91" i="3" s="1"/>
  <c r="AG228" i="3"/>
  <c r="BF253" i="3"/>
  <c r="BI253" i="3" s="1"/>
  <c r="BF64" i="3"/>
  <c r="BI64" i="3" s="1"/>
  <c r="BF184" i="3"/>
  <c r="BI184" i="3" s="1"/>
  <c r="BF216" i="3"/>
  <c r="BI216" i="3" s="1"/>
  <c r="BF177" i="3"/>
  <c r="BI177" i="3" s="1"/>
  <c r="AG111" i="3"/>
  <c r="AG223" i="3"/>
  <c r="BE246" i="3"/>
  <c r="BH246" i="3" s="1"/>
  <c r="AG154" i="3"/>
  <c r="AG236" i="3"/>
  <c r="BE128" i="3"/>
  <c r="BH128" i="3" s="1"/>
  <c r="BE223" i="3"/>
  <c r="BH223" i="3" s="1"/>
  <c r="AH217" i="3"/>
  <c r="AG246" i="3"/>
  <c r="AG91" i="3"/>
  <c r="AG107" i="3"/>
  <c r="BE111" i="3"/>
  <c r="BH111" i="3" s="1"/>
  <c r="BB210" i="3"/>
  <c r="AG89" i="3"/>
  <c r="AG260" i="3"/>
  <c r="AG186" i="3"/>
  <c r="AG163" i="3"/>
  <c r="AH259" i="3"/>
  <c r="AG140" i="3"/>
  <c r="AH239" i="3"/>
  <c r="AG203" i="3"/>
  <c r="AH82" i="3"/>
  <c r="AG214" i="3"/>
  <c r="AH211" i="3"/>
  <c r="BA233" i="3"/>
  <c r="AH155" i="3"/>
  <c r="AG76" i="3"/>
  <c r="AG110" i="3"/>
  <c r="AH159" i="3"/>
  <c r="AG109" i="3"/>
  <c r="BF163" i="3"/>
  <c r="BI163" i="3" s="1"/>
  <c r="AH212" i="3"/>
  <c r="BB233" i="3"/>
  <c r="BE110" i="3"/>
  <c r="BH110" i="3" s="1"/>
  <c r="AG213" i="3"/>
  <c r="BE233" i="3"/>
  <c r="BH233" i="3" s="1"/>
  <c r="AG238" i="3"/>
  <c r="AH156" i="3"/>
  <c r="BE153" i="3"/>
  <c r="BH153" i="3" s="1"/>
  <c r="BA95" i="3"/>
  <c r="BB95" i="3"/>
  <c r="BD95" i="3"/>
  <c r="BF171" i="3"/>
  <c r="BI171" i="3" s="1"/>
  <c r="BE175" i="3"/>
  <c r="BH175" i="3" s="1"/>
  <c r="AG137" i="3"/>
  <c r="BD210" i="3"/>
  <c r="BF210" i="3" s="1"/>
  <c r="BI210" i="3" s="1"/>
  <c r="AG192" i="3"/>
  <c r="BF159" i="3"/>
  <c r="BI159" i="3" s="1"/>
  <c r="AG153" i="3"/>
  <c r="BF148" i="3"/>
  <c r="BI148" i="3" s="1"/>
  <c r="AG88" i="3"/>
  <c r="BF137" i="3"/>
  <c r="BI137" i="3" s="1"/>
  <c r="BF88" i="3"/>
  <c r="BI88" i="3" s="1"/>
  <c r="AH216" i="3"/>
  <c r="AG216" i="3"/>
  <c r="AH99" i="3"/>
  <c r="BE213" i="3"/>
  <c r="BH213" i="3" s="1"/>
  <c r="AG144" i="3"/>
  <c r="AG148" i="3"/>
  <c r="AG230" i="3"/>
  <c r="AH138" i="3"/>
  <c r="AG138" i="3"/>
  <c r="BF140" i="3"/>
  <c r="BI140" i="3" s="1"/>
  <c r="AG231" i="3"/>
  <c r="AH231" i="3"/>
  <c r="BF208" i="3"/>
  <c r="BI208" i="3" s="1"/>
  <c r="BE208" i="3"/>
  <c r="BH208" i="3" s="1"/>
  <c r="AH208" i="3"/>
  <c r="AG208" i="3"/>
  <c r="BF262" i="3"/>
  <c r="BI262" i="3" s="1"/>
  <c r="BE262" i="3"/>
  <c r="BH262" i="3" s="1"/>
  <c r="BB143" i="3"/>
  <c r="BA143" i="3"/>
  <c r="BD143" i="3"/>
  <c r="BE86" i="3"/>
  <c r="BH86" i="3" s="1"/>
  <c r="BF86" i="3"/>
  <c r="BI86" i="3" s="1"/>
  <c r="AG255" i="3"/>
  <c r="AH255" i="3"/>
  <c r="BB237" i="3"/>
  <c r="BA237" i="3"/>
  <c r="BD237" i="3"/>
  <c r="BB131" i="3"/>
  <c r="BA131" i="3"/>
  <c r="BD131" i="3"/>
  <c r="AG139" i="3"/>
  <c r="AH139" i="3"/>
  <c r="BE138" i="3"/>
  <c r="BH138" i="3" s="1"/>
  <c r="BF138" i="3"/>
  <c r="BI138" i="3" s="1"/>
  <c r="BF238" i="3"/>
  <c r="BI238" i="3" s="1"/>
  <c r="BE238" i="3"/>
  <c r="BH238" i="3" s="1"/>
  <c r="BA156" i="3"/>
  <c r="BB156" i="3"/>
  <c r="BD156" i="3"/>
  <c r="BF174" i="3"/>
  <c r="BI174" i="3" s="1"/>
  <c r="BE174" i="3"/>
  <c r="BH174" i="3" s="1"/>
  <c r="BB147" i="3"/>
  <c r="BA147" i="3"/>
  <c r="BD147" i="3"/>
  <c r="BF186" i="3"/>
  <c r="BI186" i="3" s="1"/>
  <c r="BE186" i="3"/>
  <c r="BH186" i="3" s="1"/>
  <c r="BB74" i="3"/>
  <c r="BA74" i="3"/>
  <c r="BD74" i="3"/>
  <c r="BA167" i="3"/>
  <c r="BB167" i="3"/>
  <c r="BD167" i="3"/>
  <c r="BF122" i="3"/>
  <c r="BI122" i="3" s="1"/>
  <c r="BE122" i="3"/>
  <c r="BH122" i="3" s="1"/>
  <c r="BE205" i="3"/>
  <c r="BH205" i="3" s="1"/>
  <c r="BF205" i="3"/>
  <c r="BI205" i="3" s="1"/>
  <c r="BE98" i="3"/>
  <c r="BH98" i="3" s="1"/>
  <c r="BF98" i="3"/>
  <c r="BI98" i="3" s="1"/>
  <c r="BE249" i="3"/>
  <c r="BH249" i="3" s="1"/>
  <c r="BF249" i="3"/>
  <c r="BI249" i="3" s="1"/>
  <c r="BA225" i="3"/>
  <c r="BB225" i="3"/>
  <c r="BB235" i="3"/>
  <c r="BA235" i="3"/>
  <c r="BD235" i="3"/>
  <c r="AH105" i="3"/>
  <c r="AG105" i="3"/>
  <c r="AH90" i="3"/>
  <c r="AG90" i="3"/>
  <c r="BB164" i="3"/>
  <c r="BA164" i="3"/>
  <c r="BD164" i="3"/>
  <c r="BA120" i="3"/>
  <c r="BB120" i="3"/>
  <c r="BD120" i="3"/>
  <c r="AH242" i="3"/>
  <c r="AG242" i="3"/>
  <c r="BE115" i="3"/>
  <c r="BH115" i="3" s="1"/>
  <c r="BF115" i="3"/>
  <c r="BI115" i="3" s="1"/>
  <c r="BE102" i="3"/>
  <c r="BH102" i="3" s="1"/>
  <c r="BF102" i="3"/>
  <c r="BI102" i="3" s="1"/>
  <c r="BB206" i="3"/>
  <c r="BA206" i="3"/>
  <c r="BD206" i="3"/>
  <c r="BE179" i="3"/>
  <c r="BH179" i="3" s="1"/>
  <c r="BF179" i="3"/>
  <c r="BI179" i="3" s="1"/>
  <c r="BE251" i="3"/>
  <c r="BH251" i="3" s="1"/>
  <c r="BF251" i="3"/>
  <c r="BI251" i="3" s="1"/>
  <c r="BE123" i="3"/>
  <c r="BH123" i="3" s="1"/>
  <c r="BF123" i="3"/>
  <c r="BI123" i="3" s="1"/>
  <c r="BE90" i="3"/>
  <c r="BH90" i="3" s="1"/>
  <c r="BF90" i="3"/>
  <c r="BI90" i="3" s="1"/>
  <c r="AG257" i="3"/>
  <c r="AH257" i="3"/>
  <c r="BB151" i="3"/>
  <c r="BA151" i="3"/>
  <c r="BD151" i="3"/>
  <c r="AG185" i="3"/>
  <c r="AH185" i="3"/>
  <c r="BB203" i="3"/>
  <c r="BA203" i="3"/>
  <c r="BD203" i="3"/>
  <c r="BF192" i="3"/>
  <c r="BI192" i="3" s="1"/>
  <c r="BE192" i="3"/>
  <c r="BH192" i="3" s="1"/>
  <c r="AG225" i="3"/>
  <c r="AH225" i="3"/>
  <c r="BF149" i="3"/>
  <c r="BI149" i="3" s="1"/>
  <c r="BE149" i="3"/>
  <c r="BH149" i="3" s="1"/>
  <c r="AG112" i="3"/>
  <c r="AH112" i="3"/>
  <c r="BB180" i="3"/>
  <c r="BA180" i="3"/>
  <c r="BD180" i="3"/>
  <c r="BF242" i="3"/>
  <c r="BI242" i="3" s="1"/>
  <c r="BE242" i="3"/>
  <c r="BH242" i="3" s="1"/>
  <c r="BA259" i="3"/>
  <c r="BB259" i="3"/>
  <c r="BD259" i="3"/>
  <c r="BF198" i="3"/>
  <c r="BI198" i="3" s="1"/>
  <c r="BE198" i="3"/>
  <c r="BH198" i="3" s="1"/>
  <c r="BA109" i="3"/>
  <c r="BB109" i="3"/>
  <c r="BD109" i="3"/>
  <c r="AG157" i="3"/>
  <c r="AH157" i="3"/>
  <c r="BE133" i="3"/>
  <c r="BH133" i="3" s="1"/>
  <c r="BF133" i="3"/>
  <c r="BI133" i="3" s="1"/>
  <c r="AG195" i="3"/>
  <c r="AH195" i="3"/>
  <c r="BE263" i="3"/>
  <c r="BH263" i="3" s="1"/>
  <c r="BF263" i="3"/>
  <c r="BI263" i="3" s="1"/>
  <c r="BB129" i="3"/>
  <c r="BA129" i="3"/>
  <c r="BD129" i="3"/>
  <c r="BF197" i="3"/>
  <c r="BI197" i="3" s="1"/>
  <c r="BE197" i="3"/>
  <c r="BH197" i="3" s="1"/>
  <c r="BA254" i="3"/>
  <c r="BB254" i="3"/>
  <c r="BD254" i="3"/>
  <c r="BF83" i="3"/>
  <c r="BI83" i="3" s="1"/>
  <c r="BE83" i="3"/>
  <c r="BH83" i="3" s="1"/>
  <c r="BE166" i="3"/>
  <c r="BH166" i="3" s="1"/>
  <c r="BF166" i="3"/>
  <c r="BI166" i="3" s="1"/>
  <c r="AH176" i="3"/>
  <c r="AG176" i="3"/>
  <c r="BF105" i="3"/>
  <c r="BI105" i="3" s="1"/>
  <c r="BE105" i="3"/>
  <c r="BH105" i="3" s="1"/>
  <c r="AG64" i="3"/>
  <c r="AH64" i="3"/>
  <c r="BE154" i="3"/>
  <c r="BH154" i="3" s="1"/>
  <c r="BF154" i="3"/>
  <c r="BI154" i="3" s="1"/>
  <c r="BA69" i="3"/>
  <c r="BB69" i="3"/>
  <c r="BD69" i="3"/>
  <c r="BE207" i="3"/>
  <c r="BH207" i="3" s="1"/>
  <c r="BF207" i="3"/>
  <c r="BI207" i="3" s="1"/>
  <c r="BF220" i="3"/>
  <c r="BI220" i="3" s="1"/>
  <c r="BE220" i="3"/>
  <c r="BH220" i="3" s="1"/>
  <c r="BA258" i="3"/>
  <c r="BB258" i="3"/>
  <c r="BD258" i="3"/>
  <c r="BF155" i="3"/>
  <c r="BI155" i="3" s="1"/>
  <c r="BE155" i="3"/>
  <c r="BH155" i="3" s="1"/>
  <c r="BF160" i="3"/>
  <c r="BI160" i="3" s="1"/>
  <c r="BE160" i="3"/>
  <c r="BH160" i="3" s="1"/>
  <c r="BF161" i="3"/>
  <c r="BI161" i="3" s="1"/>
  <c r="BE161" i="3"/>
  <c r="BH161" i="3" s="1"/>
  <c r="AH97" i="3"/>
  <c r="AG97" i="3"/>
  <c r="BF224" i="3"/>
  <c r="BI224" i="3" s="1"/>
  <c r="BE224" i="3"/>
  <c r="BH224" i="3" s="1"/>
  <c r="BE217" i="3"/>
  <c r="BH217" i="3" s="1"/>
  <c r="BF217" i="3"/>
  <c r="BI217" i="3" s="1"/>
  <c r="BA226" i="3"/>
  <c r="BB226" i="3"/>
  <c r="BD226" i="3"/>
  <c r="AG221" i="3"/>
  <c r="AH221" i="3"/>
  <c r="BB106" i="3"/>
  <c r="BA106" i="3"/>
  <c r="BD106" i="3"/>
  <c r="AH96" i="3"/>
  <c r="AG96" i="3"/>
  <c r="BA75" i="3"/>
  <c r="BB75" i="3"/>
  <c r="BD75" i="3"/>
  <c r="BF225" i="3"/>
  <c r="BI225" i="3" s="1"/>
  <c r="BE225" i="3"/>
  <c r="BH225" i="3" s="1"/>
  <c r="BF193" i="3"/>
  <c r="BI193" i="3" s="1"/>
  <c r="BE193" i="3"/>
  <c r="BH193" i="3" s="1"/>
  <c r="AH102" i="3"/>
  <c r="AG102" i="3"/>
  <c r="AH197" i="3"/>
  <c r="AG197" i="3"/>
  <c r="BB65" i="3" l="1"/>
  <c r="BD65" i="3"/>
  <c r="BF65" i="3" s="1"/>
  <c r="BI65" i="3" s="1"/>
  <c r="BE68" i="3"/>
  <c r="BH68" i="3" s="1"/>
  <c r="BF214" i="3"/>
  <c r="BI214" i="3" s="1"/>
  <c r="AH68" i="3"/>
  <c r="BB68" i="3"/>
  <c r="BA68" i="3"/>
  <c r="AH65" i="3"/>
  <c r="BE97" i="3"/>
  <c r="BH97" i="3" s="1"/>
  <c r="BF176" i="3"/>
  <c r="BI176" i="3" s="1"/>
  <c r="BE99" i="3"/>
  <c r="BH99" i="3" s="1"/>
  <c r="BE232" i="3"/>
  <c r="BH232" i="3" s="1"/>
  <c r="BE82" i="3"/>
  <c r="BH82" i="3" s="1"/>
  <c r="BF200" i="3"/>
  <c r="BI200" i="3" s="1"/>
  <c r="BF195" i="3"/>
  <c r="BI195" i="3" s="1"/>
  <c r="BF201" i="3"/>
  <c r="BI201" i="3" s="1"/>
  <c r="BE136" i="3"/>
  <c r="BH136" i="3" s="1"/>
  <c r="BE228" i="3"/>
  <c r="BH228" i="3" s="1"/>
  <c r="BE257" i="3"/>
  <c r="BH257" i="3" s="1"/>
  <c r="BF229" i="3"/>
  <c r="BI229" i="3" s="1"/>
  <c r="BF139" i="3"/>
  <c r="BI139" i="3" s="1"/>
  <c r="BE103" i="3"/>
  <c r="BH103" i="3" s="1"/>
  <c r="BF119" i="3"/>
  <c r="BI119" i="3" s="1"/>
  <c r="BF100" i="3"/>
  <c r="BI100" i="3" s="1"/>
  <c r="BF255" i="3"/>
  <c r="BI255" i="3" s="1"/>
  <c r="BF240" i="3"/>
  <c r="BI240" i="3" s="1"/>
  <c r="BF101" i="3"/>
  <c r="BI101" i="3" s="1"/>
  <c r="BF157" i="3"/>
  <c r="BI157" i="3" s="1"/>
  <c r="BF215" i="3"/>
  <c r="BI215" i="3" s="1"/>
  <c r="BF152" i="3"/>
  <c r="BI152" i="3" s="1"/>
  <c r="BE222" i="3"/>
  <c r="BH222" i="3" s="1"/>
  <c r="BF104" i="3"/>
  <c r="BI104" i="3" s="1"/>
  <c r="BF92" i="3"/>
  <c r="BI92" i="3" s="1"/>
  <c r="BF187" i="3"/>
  <c r="BI187" i="3" s="1"/>
  <c r="BF231" i="3"/>
  <c r="BI231" i="3" s="1"/>
  <c r="BE145" i="3"/>
  <c r="BH145" i="3" s="1"/>
  <c r="BE80" i="3"/>
  <c r="BH80" i="3" s="1"/>
  <c r="BF96" i="3"/>
  <c r="BI96" i="3" s="1"/>
  <c r="BF87" i="3"/>
  <c r="BI87" i="3" s="1"/>
  <c r="BE219" i="3"/>
  <c r="BH219" i="3" s="1"/>
  <c r="BE77" i="3"/>
  <c r="BH77" i="3" s="1"/>
  <c r="BF181" i="3"/>
  <c r="BI181" i="3" s="1"/>
  <c r="BF94" i="3"/>
  <c r="BI94" i="3" s="1"/>
  <c r="BF239" i="3"/>
  <c r="BI239" i="3" s="1"/>
  <c r="BF89" i="3"/>
  <c r="BI89" i="3" s="1"/>
  <c r="BF256" i="3"/>
  <c r="BI256" i="3" s="1"/>
  <c r="BF113" i="3"/>
  <c r="BI113" i="3" s="1"/>
  <c r="BF244" i="3"/>
  <c r="BI244" i="3" s="1"/>
  <c r="BE76" i="3"/>
  <c r="BH76" i="3" s="1"/>
  <c r="BE204" i="3"/>
  <c r="BH204" i="3" s="1"/>
  <c r="BF185" i="3"/>
  <c r="BI185" i="3" s="1"/>
  <c r="BF221" i="3"/>
  <c r="BI221" i="3" s="1"/>
  <c r="BE211" i="3"/>
  <c r="BH211" i="3" s="1"/>
  <c r="BF72" i="3"/>
  <c r="BI72" i="3" s="1"/>
  <c r="BF243" i="3"/>
  <c r="BI243" i="3" s="1"/>
  <c r="BE93" i="3"/>
  <c r="BH93" i="3" s="1"/>
  <c r="BF107" i="3"/>
  <c r="BI107" i="3" s="1"/>
  <c r="BE112" i="3"/>
  <c r="BH112" i="3" s="1"/>
  <c r="BE260" i="3"/>
  <c r="BH260" i="3" s="1"/>
  <c r="BE172" i="3"/>
  <c r="BH172" i="3" s="1"/>
  <c r="BF227" i="3"/>
  <c r="BI227" i="3" s="1"/>
  <c r="BF189" i="3"/>
  <c r="BI189" i="3" s="1"/>
  <c r="BF182" i="3"/>
  <c r="BI182" i="3" s="1"/>
  <c r="BE218" i="3"/>
  <c r="BH218" i="3" s="1"/>
  <c r="BE144" i="3"/>
  <c r="BH144" i="3" s="1"/>
  <c r="BF114" i="3"/>
  <c r="BI114" i="3" s="1"/>
  <c r="BE236" i="3"/>
  <c r="BH236" i="3" s="1"/>
  <c r="BE202" i="3"/>
  <c r="BH202" i="3" s="1"/>
  <c r="BF183" i="3"/>
  <c r="BI183" i="3" s="1"/>
  <c r="BF230" i="3"/>
  <c r="BI230" i="3" s="1"/>
  <c r="BE234" i="3"/>
  <c r="BH234" i="3" s="1"/>
  <c r="BF78" i="3"/>
  <c r="BI78" i="3" s="1"/>
  <c r="BE212" i="3"/>
  <c r="BH212" i="3" s="1"/>
  <c r="BE210" i="3"/>
  <c r="BH210" i="3" s="1"/>
  <c r="BF95" i="3"/>
  <c r="BI95" i="3" s="1"/>
  <c r="BE95" i="3"/>
  <c r="BH95" i="3" s="1"/>
  <c r="BE203" i="3"/>
  <c r="BH203" i="3" s="1"/>
  <c r="BF203" i="3"/>
  <c r="BI203" i="3" s="1"/>
  <c r="BF75" i="3"/>
  <c r="BI75" i="3" s="1"/>
  <c r="BE75" i="3"/>
  <c r="BH75" i="3" s="1"/>
  <c r="BF226" i="3"/>
  <c r="BI226" i="3" s="1"/>
  <c r="BE226" i="3"/>
  <c r="BH226" i="3" s="1"/>
  <c r="BF258" i="3"/>
  <c r="BI258" i="3" s="1"/>
  <c r="BE258" i="3"/>
  <c r="BH258" i="3" s="1"/>
  <c r="BF254" i="3"/>
  <c r="BI254" i="3" s="1"/>
  <c r="BE254" i="3"/>
  <c r="BH254" i="3" s="1"/>
  <c r="BF109" i="3"/>
  <c r="BI109" i="3" s="1"/>
  <c r="BE109" i="3"/>
  <c r="BH109" i="3" s="1"/>
  <c r="BF180" i="3"/>
  <c r="BI180" i="3" s="1"/>
  <c r="BE180" i="3"/>
  <c r="BH180" i="3" s="1"/>
  <c r="BE235" i="3"/>
  <c r="BH235" i="3" s="1"/>
  <c r="BF235" i="3"/>
  <c r="BI235" i="3" s="1"/>
  <c r="BE74" i="3"/>
  <c r="BH74" i="3" s="1"/>
  <c r="BF74" i="3"/>
  <c r="BI74" i="3" s="1"/>
  <c r="BE237" i="3"/>
  <c r="BH237" i="3" s="1"/>
  <c r="BF237" i="3"/>
  <c r="BI237" i="3" s="1"/>
  <c r="BF259" i="3"/>
  <c r="BI259" i="3" s="1"/>
  <c r="BE259" i="3"/>
  <c r="BH259" i="3" s="1"/>
  <c r="BE131" i="3"/>
  <c r="BH131" i="3" s="1"/>
  <c r="BF131" i="3"/>
  <c r="BI131" i="3" s="1"/>
  <c r="BE106" i="3"/>
  <c r="BH106" i="3" s="1"/>
  <c r="BF106" i="3"/>
  <c r="BI106" i="3" s="1"/>
  <c r="BF151" i="3"/>
  <c r="BI151" i="3" s="1"/>
  <c r="BE151" i="3"/>
  <c r="BH151" i="3" s="1"/>
  <c r="BF120" i="3"/>
  <c r="BI120" i="3" s="1"/>
  <c r="BE120" i="3"/>
  <c r="BH120" i="3" s="1"/>
  <c r="BF156" i="3"/>
  <c r="BI156" i="3" s="1"/>
  <c r="BE156" i="3"/>
  <c r="BH156" i="3" s="1"/>
  <c r="BF69" i="3"/>
  <c r="BI69" i="3" s="1"/>
  <c r="BE69" i="3"/>
  <c r="BH69" i="3" s="1"/>
  <c r="BF147" i="3"/>
  <c r="BI147" i="3" s="1"/>
  <c r="BE147" i="3"/>
  <c r="BH147" i="3" s="1"/>
  <c r="BE129" i="3"/>
  <c r="BH129" i="3" s="1"/>
  <c r="BF129" i="3"/>
  <c r="BI129" i="3" s="1"/>
  <c r="BF206" i="3"/>
  <c r="BI206" i="3" s="1"/>
  <c r="BE206" i="3"/>
  <c r="BH206" i="3" s="1"/>
  <c r="BE164" i="3"/>
  <c r="BH164" i="3" s="1"/>
  <c r="BF164" i="3"/>
  <c r="BI164" i="3" s="1"/>
  <c r="BF167" i="3"/>
  <c r="BI167" i="3" s="1"/>
  <c r="BE167" i="3"/>
  <c r="BH167" i="3" s="1"/>
  <c r="BF143" i="3"/>
  <c r="BI143" i="3" s="1"/>
  <c r="BE143" i="3"/>
  <c r="BH143" i="3" s="1"/>
  <c r="BE65" i="3" l="1"/>
  <c r="BH65" i="3" s="1"/>
  <c r="M36" i="3"/>
  <c r="O36" i="3" s="1"/>
  <c r="M34" i="3"/>
  <c r="M35" i="3"/>
  <c r="O35" i="3" s="1"/>
</calcChain>
</file>

<file path=xl/sharedStrings.xml><?xml version="1.0" encoding="utf-8"?>
<sst xmlns="http://schemas.openxmlformats.org/spreadsheetml/2006/main" count="396" uniqueCount="283">
  <si>
    <t>Power Loss Calculation</t>
  </si>
  <si>
    <t>Switching Frequency</t>
  </si>
  <si>
    <t>kHz</t>
  </si>
  <si>
    <t>On Time</t>
  </si>
  <si>
    <t>ns</t>
  </si>
  <si>
    <t>V</t>
  </si>
  <si>
    <t>Duty Cycle</t>
  </si>
  <si>
    <t>Effective Output Resistance</t>
  </si>
  <si>
    <t>Ohm</t>
  </si>
  <si>
    <t>Output Current</t>
  </si>
  <si>
    <t>A</t>
  </si>
  <si>
    <t>Iupper,rms</t>
  </si>
  <si>
    <t>OUTPUT INDUCTOR</t>
  </si>
  <si>
    <t>Ilower,rms</t>
  </si>
  <si>
    <r>
      <t>Inductor Current Ripple Ratio (</t>
    </r>
    <r>
      <rPr>
        <b/>
        <sz val="10"/>
        <rFont val="Arial"/>
        <family val="2"/>
      </rPr>
      <t>∆</t>
    </r>
    <r>
      <rPr>
        <b/>
        <sz val="10"/>
        <rFont val="Times New Roman"/>
        <family val="1"/>
      </rPr>
      <t>I/ILOAD)</t>
    </r>
  </si>
  <si>
    <t>%</t>
  </si>
  <si>
    <t>Recommended Inductor</t>
  </si>
  <si>
    <t>uH</t>
  </si>
  <si>
    <t>Current Ripple</t>
  </si>
  <si>
    <t>Ap-p</t>
  </si>
  <si>
    <t>Output Inductor</t>
  </si>
  <si>
    <t>Switching Loss</t>
  </si>
  <si>
    <t xml:space="preserve">     DCR</t>
  </si>
  <si>
    <t>mOhm</t>
  </si>
  <si>
    <t>Upper MOSFET</t>
  </si>
  <si>
    <t>Lower MOSFET</t>
  </si>
  <si>
    <t>OUTPUT CAPACITOR</t>
  </si>
  <si>
    <t>Driver</t>
  </si>
  <si>
    <t>Number of Output Capacitor</t>
  </si>
  <si>
    <t xml:space="preserve">   Capacitance (Each)</t>
  </si>
  <si>
    <t>uF</t>
  </si>
  <si>
    <t>Ouput Cap. ESR</t>
  </si>
  <si>
    <t>Conduction Loss</t>
  </si>
  <si>
    <t xml:space="preserve">   ESR (Each)</t>
  </si>
  <si>
    <t>UPPER MOSFET</t>
  </si>
  <si>
    <t>Rds,on</t>
  </si>
  <si>
    <t>LOWER MOSFET</t>
  </si>
  <si>
    <r>
      <rPr>
        <b/>
        <sz val="10"/>
        <rFont val="Symbol"/>
        <family val="1"/>
        <charset val="2"/>
      </rPr>
      <t>°</t>
    </r>
    <r>
      <rPr>
        <b/>
        <sz val="10"/>
        <rFont val="Arial"/>
        <family val="2"/>
      </rPr>
      <t>C/Watt</t>
    </r>
  </si>
  <si>
    <r>
      <rPr>
        <b/>
        <sz val="10"/>
        <rFont val="Symbol"/>
        <family val="1"/>
        <charset val="2"/>
      </rPr>
      <t>°</t>
    </r>
    <r>
      <rPr>
        <b/>
        <sz val="10"/>
        <rFont val="Arial"/>
        <family val="2"/>
      </rPr>
      <t>C</t>
    </r>
  </si>
  <si>
    <t>Total Loss</t>
  </si>
  <si>
    <t>Watts</t>
  </si>
  <si>
    <t>Efficiency</t>
  </si>
  <si>
    <t>Power Dissipation in IC</t>
  </si>
  <si>
    <t>W</t>
  </si>
  <si>
    <t xml:space="preserve">   Rds,on</t>
  </si>
  <si>
    <t xml:space="preserve">   Vd</t>
  </si>
  <si>
    <t xml:space="preserve">   Qrr</t>
  </si>
  <si>
    <t>nC</t>
  </si>
  <si>
    <t xml:space="preserve">   Qg</t>
  </si>
  <si>
    <t xml:space="preserve">   Cgs</t>
  </si>
  <si>
    <t>nF</t>
  </si>
  <si>
    <t>Rdson*Cgs</t>
  </si>
  <si>
    <t>mOhm*nF</t>
  </si>
  <si>
    <t xml:space="preserve">   Coss</t>
  </si>
  <si>
    <t>Rdson*Coss</t>
  </si>
  <si>
    <t xml:space="preserve">   Tr</t>
  </si>
  <si>
    <t>Switching time of upper MOSFET from OFF to ON</t>
  </si>
  <si>
    <t xml:space="preserve">   Tf</t>
  </si>
  <si>
    <t>Switching time of upper MOSFET from ON to OFF</t>
  </si>
  <si>
    <t xml:space="preserve">   n</t>
  </si>
  <si>
    <t>Number of upper MOSFETs</t>
  </si>
  <si>
    <t xml:space="preserve">   Pcon</t>
  </si>
  <si>
    <t>Upper MOSFETs conduction loss = (Irms.upper)^2*Rds/n</t>
  </si>
  <si>
    <t xml:space="preserve">   Psw_on</t>
  </si>
  <si>
    <t>Upper MOSFETs turn-ON switching loss = Vin*(Iout-Irip/2)*Tr*Fsw/2</t>
  </si>
  <si>
    <t xml:space="preserve">   Psw_off</t>
  </si>
  <si>
    <t>Upper MOSFETs turn-OFF switching loss = Vin*(Iout+Irip/2)*Tf*Fsw/2</t>
  </si>
  <si>
    <t xml:space="preserve">   Pdiode</t>
  </si>
  <si>
    <t>Upper MOSFET diode reverse recovery loss = n*Vin*Fsw*Qrr</t>
  </si>
  <si>
    <t xml:space="preserve">   Pcap</t>
  </si>
  <si>
    <t>MOSFET output capacitance loss  = n*Coss*(Vin)^2*Fsw/2</t>
  </si>
  <si>
    <t xml:space="preserve">   Pupper</t>
  </si>
  <si>
    <t>Total upper MOSFETs Power loss</t>
  </si>
  <si>
    <t xml:space="preserve">   Td_on</t>
  </si>
  <si>
    <t>Dead time for UGATE OFF to LGATE ON</t>
  </si>
  <si>
    <t xml:space="preserve">   Td_off</t>
  </si>
  <si>
    <t>Dead time for LGATE ON to UGATE OFF</t>
  </si>
  <si>
    <t>Number of lower MOSFETs</t>
  </si>
  <si>
    <t>Lower MOSFET conduction loss = (Irms.lower)^2*Rds/n</t>
  </si>
  <si>
    <t>Body diode conduction loss = Vd*Fsw*[ (Iout+Irip/2) * Td1+ (Iout-Irip/2) * Td2]</t>
  </si>
  <si>
    <t xml:space="preserve">   Pdiode_QRR</t>
  </si>
  <si>
    <t xml:space="preserve">   Plower</t>
  </si>
  <si>
    <t>Total lower MOSFETs Power loss</t>
  </si>
  <si>
    <t>DRIVER POWER LOSS</t>
  </si>
  <si>
    <t>Vgs,u</t>
  </si>
  <si>
    <t>Vgs,l</t>
  </si>
  <si>
    <t>Iq</t>
  </si>
  <si>
    <t>mA</t>
  </si>
  <si>
    <t>Quiescent Current</t>
  </si>
  <si>
    <t>Pdr,up</t>
  </si>
  <si>
    <t>Upper MOSFET driver loss = n*Vgs1*Fsw*Qg.up</t>
  </si>
  <si>
    <t>Pdr,low</t>
  </si>
  <si>
    <t>Lower MOSFET driver loss = n*Vgs2*Fsw*Qg.low</t>
  </si>
  <si>
    <t>LDO</t>
  </si>
  <si>
    <t>LDO Loss = (Vin-V_LDO)*Iq</t>
  </si>
  <si>
    <t>Pdriver</t>
  </si>
  <si>
    <t>Total driver power loss</t>
  </si>
  <si>
    <t>OUTPUT INDUCTOR LOSS</t>
  </si>
  <si>
    <t>Pcore</t>
  </si>
  <si>
    <t>Inductor core loss</t>
  </si>
  <si>
    <t>Pcon</t>
  </si>
  <si>
    <t>Inductor conduction loss = (Irms)^2*DCR</t>
  </si>
  <si>
    <t>Pind</t>
  </si>
  <si>
    <t>Total inductor loss</t>
  </si>
  <si>
    <t>OUTPUT CAPACITOR LOSS</t>
  </si>
  <si>
    <t>Pesr</t>
  </si>
  <si>
    <t>ESR Conduction Loss</t>
  </si>
  <si>
    <t>PWM Efficiency Summary</t>
  </si>
  <si>
    <t>Min Current</t>
  </si>
  <si>
    <t>Max Current</t>
  </si>
  <si>
    <t xml:space="preserve">Total Power Loss </t>
  </si>
  <si>
    <t>Losses in Upper MOSFET</t>
  </si>
  <si>
    <t>Losses in Lower MOSFET</t>
  </si>
  <si>
    <t>Driver Loss</t>
  </si>
  <si>
    <t>Inductor Loss</t>
  </si>
  <si>
    <t>Capactor Loss</t>
  </si>
  <si>
    <t>D</t>
  </si>
  <si>
    <t>Irip</t>
  </si>
  <si>
    <t>Iup,rms</t>
  </si>
  <si>
    <t>Ilos,rms</t>
  </si>
  <si>
    <t>V_ls_diode</t>
  </si>
  <si>
    <t>Dead Time</t>
  </si>
  <si>
    <t>nsec</t>
  </si>
  <si>
    <t>uA</t>
  </si>
  <si>
    <t>On time pulse</t>
  </si>
  <si>
    <t>Off time pulse</t>
  </si>
  <si>
    <t>Hz</t>
  </si>
  <si>
    <t>f1=1/(dt1+dt2)</t>
  </si>
  <si>
    <t>f2=2*Iout(I_PFM_pk/2 -Iout)/((Vout_upper-Vout)*Cout*I_PFM_pk)</t>
  </si>
  <si>
    <t>Inductor conduction loss</t>
  </si>
  <si>
    <t>P_hs_cond</t>
  </si>
  <si>
    <t>P_hs_cond=Rdson_hs*2*Iout*T_PFM_pk*Vout/(3*Vin)</t>
  </si>
  <si>
    <t>P_hs_turn_off</t>
  </si>
  <si>
    <t>P_hs_turn_off is the ac loss = 2*Cgsp*Vin^2*Iout(Vout*(Vin-Vout)/(I_PFM_pk*L*)*tf</t>
  </si>
  <si>
    <t>P_hs_gate_drive</t>
  </si>
  <si>
    <t>P_hs_gate_drive is the gate driver loss = Cgshs*Vgs^2*2*Iout*Vout*(Vin-Vout)/(I_PFM_pk^2*L*Vdr)</t>
  </si>
  <si>
    <t>N_ls_cond</t>
  </si>
  <si>
    <t>N_ls_cond=Rdson_ls*2*Iout*I_PFM_pk*(Vin-Vout)/(3*Vin)</t>
  </si>
  <si>
    <t>N_ls_gate_drive</t>
  </si>
  <si>
    <t>N_ls_gate_drive is the gate driver loss = Cgshs*Vgs^2*2*Iout*Vout*(Vin-Vout)/(I_PFM_pk^2*L*Vdr)</t>
  </si>
  <si>
    <t>D_ls_diode</t>
  </si>
  <si>
    <t>N_ls_diode=V_ls_diode*Dead_time*2*Iout*Vout*(Vin-Vout)/(I_PFM_pk^2*Lout*Vin)</t>
  </si>
  <si>
    <t>Cout_esr</t>
  </si>
  <si>
    <t>Cout_esr=Resr*Iout*I_PFM_pk/6</t>
  </si>
  <si>
    <t>P_iq</t>
  </si>
  <si>
    <t>Quiescent Power Loss=Iq*Vin</t>
  </si>
  <si>
    <t xml:space="preserve">Compensator Design - Type 2  </t>
  </si>
  <si>
    <t>Note: In order for the Compensation Design to work, need to have the Analysis Tool Pack active.</t>
  </si>
  <si>
    <t xml:space="preserve">See Below For Graphical Represenatation of Ti(s), Tv(s), T(s), Rfb1, Rfb2, Cfb1, R1, C1, C2 </t>
  </si>
  <si>
    <t xml:space="preserve">1. Go to File, then Option. </t>
  </si>
  <si>
    <t>Transfer Function</t>
  </si>
  <si>
    <t>Controller</t>
  </si>
  <si>
    <t xml:space="preserve">2. Select Add-Ins. </t>
  </si>
  <si>
    <r>
      <t>Tran-resistance, R</t>
    </r>
    <r>
      <rPr>
        <vertAlign val="subscript"/>
        <sz val="10"/>
        <rFont val="Arial"/>
        <family val="2"/>
      </rPr>
      <t>T</t>
    </r>
  </si>
  <si>
    <t>3. If Analysis-ToolPak if it is inactive. Then use the manage menu.</t>
  </si>
  <si>
    <r>
      <t>Slope Compensation, S</t>
    </r>
    <r>
      <rPr>
        <vertAlign val="subscript"/>
        <sz val="10"/>
        <rFont val="Arial"/>
        <family val="2"/>
      </rPr>
      <t>E (without Fs)</t>
    </r>
  </si>
  <si>
    <t>Current Sense, Sn</t>
  </si>
  <si>
    <t>A/s</t>
  </si>
  <si>
    <t>4. Select Excel Add-ins and click Go.</t>
  </si>
  <si>
    <r>
      <t>Total Control Slope, m</t>
    </r>
    <r>
      <rPr>
        <vertAlign val="subscript"/>
        <sz val="10"/>
        <rFont val="Arial"/>
        <family val="2"/>
      </rPr>
      <t>c</t>
    </r>
  </si>
  <si>
    <t>5. Check Analysis-ToolPak and click OK.</t>
  </si>
  <si>
    <t>ωo</t>
  </si>
  <si>
    <t>Error Amp Output Resistance, Roerr</t>
  </si>
  <si>
    <t>ohm</t>
  </si>
  <si>
    <t>Fesr</t>
  </si>
  <si>
    <t>Feedback Voltage, VFB</t>
  </si>
  <si>
    <t>Fz</t>
  </si>
  <si>
    <t>Transconductance, gm</t>
  </si>
  <si>
    <t>S</t>
  </si>
  <si>
    <t>Q</t>
  </si>
  <si>
    <t>Caculated Values</t>
  </si>
  <si>
    <t>Selected Values</t>
  </si>
  <si>
    <t>Fs</t>
  </si>
  <si>
    <t>Desired Fc</t>
  </si>
  <si>
    <t>of Fs = Fc</t>
  </si>
  <si>
    <t>Resistive Divider</t>
  </si>
  <si>
    <t>F</t>
  </si>
  <si>
    <t>User Selects R1</t>
  </si>
  <si>
    <t>User Selects R2</t>
  </si>
  <si>
    <t>Fz1</t>
  </si>
  <si>
    <t>Fp2</t>
  </si>
  <si>
    <t>User Selects Cfb2</t>
  </si>
  <si>
    <t>Bandwidth</t>
  </si>
  <si>
    <t>Phase margin</t>
  </si>
  <si>
    <t>degree</t>
  </si>
  <si>
    <t>Sampling Transfer Functions</t>
  </si>
  <si>
    <t>wn</t>
  </si>
  <si>
    <t>Qn</t>
  </si>
  <si>
    <t>Fm</t>
  </si>
  <si>
    <t>Fstart</t>
  </si>
  <si>
    <t>Fstop</t>
  </si>
  <si>
    <t>Fstep</t>
  </si>
  <si>
    <t>Step</t>
  </si>
  <si>
    <t>Calculations for the Sampling Transfer function</t>
  </si>
  <si>
    <t>Current Loop Gain</t>
  </si>
  <si>
    <t>Open Loop Voltage Gain</t>
  </si>
  <si>
    <t>Total Loop Gain</t>
  </si>
  <si>
    <t>Voltage Divider Gain</t>
  </si>
  <si>
    <t>Gain of Internal Compensation</t>
  </si>
  <si>
    <t>Open Loop to Inductor Current Transfer function</t>
  </si>
  <si>
    <t>Open Loop duty Cycle to Output Voltage Transfer Function</t>
  </si>
  <si>
    <t>Fm*Rt*Fdi(S)*He(S)</t>
  </si>
  <si>
    <t>Fm*Fdv(S)</t>
  </si>
  <si>
    <t>TV(S)/1+Ti(S)</t>
  </si>
  <si>
    <t>Compensator</t>
  </si>
  <si>
    <t>Voltage loop with compensation</t>
  </si>
  <si>
    <t>Closed Loop with Compensation</t>
  </si>
  <si>
    <t>To Find the Bandwidth</t>
  </si>
  <si>
    <t>S = j*2*pi*F</t>
  </si>
  <si>
    <t>Real He(s)</t>
  </si>
  <si>
    <t>Imag He(S)</t>
  </si>
  <si>
    <t>Complex He(S)</t>
  </si>
  <si>
    <t>Gain He(S)</t>
  </si>
  <si>
    <t>Phase He(S)</t>
  </si>
  <si>
    <t>Gain</t>
  </si>
  <si>
    <t>Upper Complex</t>
  </si>
  <si>
    <t>Lower Complex</t>
  </si>
  <si>
    <t>Fdi(S)</t>
  </si>
  <si>
    <t>lower Same as inductor</t>
  </si>
  <si>
    <t>Fdv(S)</t>
  </si>
  <si>
    <t>Ti(s)</t>
  </si>
  <si>
    <t>Phase</t>
  </si>
  <si>
    <t>Tv(S)</t>
  </si>
  <si>
    <t>T(S)</t>
  </si>
  <si>
    <t>gain</t>
  </si>
  <si>
    <t>phase</t>
  </si>
  <si>
    <t>Z1(S)</t>
  </si>
  <si>
    <t>Z2(S)</t>
  </si>
  <si>
    <t>2nd gm pole</t>
  </si>
  <si>
    <t>2nd gm pole//Cp1</t>
  </si>
  <si>
    <t>2 poles contribution</t>
  </si>
  <si>
    <t>Voltage Gain Denominator</t>
  </si>
  <si>
    <t>K(S)</t>
  </si>
  <si>
    <t>top</t>
  </si>
  <si>
    <t>bottom</t>
  </si>
  <si>
    <t>A(S)</t>
  </si>
  <si>
    <t>K(S)*A(S)</t>
  </si>
  <si>
    <t>mag</t>
  </si>
  <si>
    <t>Tv(s)c</t>
  </si>
  <si>
    <t>T(s)</t>
  </si>
  <si>
    <t>1-gain</t>
  </si>
  <si>
    <t>-Phase</t>
  </si>
  <si>
    <t>Gain margin</t>
  </si>
  <si>
    <t>Lower MOSFET diode reverse recovery loss = n*Vin*Fsw*Qrr/2</t>
  </si>
  <si>
    <t>C5</t>
  </si>
  <si>
    <t>C6</t>
  </si>
  <si>
    <t>Output Voltage Ripple</t>
  </si>
  <si>
    <t>dB</t>
  </si>
  <si>
    <t>mVp-p</t>
  </si>
  <si>
    <t>Program UVLO:</t>
  </si>
  <si>
    <r>
      <t>V</t>
    </r>
    <r>
      <rPr>
        <b/>
        <vertAlign val="subscript"/>
        <sz val="10"/>
        <rFont val="Arial"/>
        <family val="2"/>
      </rPr>
      <t>ON</t>
    </r>
  </si>
  <si>
    <t>kOhm</t>
  </si>
  <si>
    <r>
      <t>V</t>
    </r>
    <r>
      <rPr>
        <b/>
        <vertAlign val="subscript"/>
        <sz val="10"/>
        <rFont val="Arial"/>
        <family val="2"/>
      </rPr>
      <t>OFF</t>
    </r>
  </si>
  <si>
    <t>R5</t>
  </si>
  <si>
    <t>Part Number</t>
  </si>
  <si>
    <t>Internal</t>
  </si>
  <si>
    <t>External</t>
  </si>
  <si>
    <t>Compensation Scheme</t>
  </si>
  <si>
    <t>Time shift</t>
  </si>
  <si>
    <t>Frequency</t>
  </si>
  <si>
    <t>Energy Current</t>
  </si>
  <si>
    <t>DCM-CCM Boundary</t>
  </si>
  <si>
    <r>
      <t xml:space="preserve">Thermal Resistance, </t>
    </r>
    <r>
      <rPr>
        <b/>
        <sz val="10"/>
        <rFont val="Calibri"/>
        <family val="2"/>
      </rPr>
      <t>θja</t>
    </r>
  </si>
  <si>
    <r>
      <t>Ambient Temperature, T</t>
    </r>
    <r>
      <rPr>
        <b/>
        <vertAlign val="subscript"/>
        <sz val="10"/>
        <rFont val="Arial"/>
        <family val="2"/>
      </rPr>
      <t>A</t>
    </r>
  </si>
  <si>
    <t>AP64350</t>
  </si>
  <si>
    <t>AP64500</t>
  </si>
  <si>
    <t>RT</t>
  </si>
  <si>
    <t>User Selects C4</t>
  </si>
  <si>
    <t>R3</t>
  </si>
  <si>
    <t>R4</t>
  </si>
  <si>
    <t>6. Go to File, then Option.</t>
  </si>
  <si>
    <t>7. Select Advance.</t>
  </si>
  <si>
    <t>8. Unselect Use System separator</t>
  </si>
  <si>
    <t>9. Change to local Decimal/Thousand separator to "." or ","</t>
  </si>
  <si>
    <t>10. Click OK.</t>
  </si>
  <si>
    <t>AP64350Q</t>
  </si>
  <si>
    <t>AP64500Q</t>
  </si>
  <si>
    <t>AP64100</t>
  </si>
  <si>
    <t>AP64100Q</t>
  </si>
  <si>
    <t>AP64200</t>
  </si>
  <si>
    <t>AP64200Q</t>
  </si>
  <si>
    <t>Version 2.1</t>
  </si>
  <si>
    <r>
      <t>Junction Temperature, T</t>
    </r>
    <r>
      <rPr>
        <b/>
        <vertAlign val="subscript"/>
        <sz val="10"/>
        <rFont val="Arial"/>
        <family val="2"/>
      </rPr>
      <t>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</si>
</sst>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0"/>
    <numFmt numFmtId="166" formatCode="0.000E+00"/>
    <numFmt numFmtId="167" formatCode="#,##0.0"/>
    <numFmt numFmtId="168" formatCode="#,##0.000"/>
    <numFmt numFmtId="169" formatCode="0.0E+00"/>
    <numFmt numFmtId="170" formatCode="0.0000E+00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i/>
      <u/>
      <sz val="10"/>
      <name val="Arial"/>
      <family val="2"/>
    </font>
    <font>
      <b/>
      <sz val="10"/>
      <name val="Times New Roman"/>
      <family val="1"/>
    </font>
    <font>
      <b/>
      <sz val="10"/>
      <color theme="0"/>
      <name val="Arial"/>
      <family val="2"/>
    </font>
    <font>
      <b/>
      <sz val="10"/>
      <name val="Symbol"/>
      <family val="1"/>
      <charset val="2"/>
    </font>
    <font>
      <b/>
      <i/>
      <u/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charset val="134"/>
      <scheme val="minor"/>
    </font>
    <font>
      <b/>
      <sz val="12"/>
      <color indexed="9"/>
      <name val="Arial"/>
      <family val="2"/>
    </font>
    <font>
      <b/>
      <sz val="12"/>
      <color theme="1"/>
      <name val="Calibri"/>
      <family val="2"/>
      <scheme val="minor"/>
    </font>
    <font>
      <sz val="12"/>
      <color indexed="9"/>
      <name val="Arial"/>
      <family val="2"/>
    </font>
    <font>
      <vertAlign val="subscript"/>
      <sz val="10"/>
      <name val="Arial"/>
      <family val="2"/>
    </font>
    <font>
      <sz val="10"/>
      <color indexed="63"/>
      <name val="Times New Roman"/>
      <family val="1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color rgb="FF00B0F0"/>
      <name val="Calibri"/>
      <family val="2"/>
      <scheme val="minor"/>
    </font>
    <font>
      <sz val="11"/>
      <color rgb="FFFFFF66"/>
      <name val="Calibri"/>
      <family val="2"/>
      <scheme val="minor"/>
    </font>
    <font>
      <b/>
      <u/>
      <sz val="10"/>
      <name val="Arial"/>
      <family val="2"/>
    </font>
    <font>
      <b/>
      <vertAlign val="subscript"/>
      <sz val="10"/>
      <name val="Arial"/>
      <family val="2"/>
    </font>
    <font>
      <b/>
      <sz val="16"/>
      <color rgb="FF0070C0"/>
      <name val="Calibri"/>
      <family val="2"/>
      <scheme val="minor"/>
    </font>
    <font>
      <b/>
      <sz val="10"/>
      <name val="Calibri"/>
      <family val="2"/>
    </font>
    <font>
      <b/>
      <sz val="18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0"/>
      <color theme="0" tint="-4.9989318521683403E-2"/>
      <name val="Arial"/>
      <family val="2"/>
    </font>
    <font>
      <b/>
      <i/>
      <u/>
      <sz val="10"/>
      <color theme="0" tint="-4.9989318521683403E-2"/>
      <name val="Arial"/>
      <family val="2"/>
    </font>
    <font>
      <b/>
      <i/>
      <sz val="10"/>
      <color theme="0" tint="-4.9989318521683403E-2"/>
      <name val="Arial"/>
      <family val="2"/>
    </font>
    <font>
      <sz val="10"/>
      <color theme="0" tint="-4.9989318521683403E-2"/>
      <name val="Arial"/>
      <family val="2"/>
    </font>
    <font>
      <sz val="10"/>
      <color theme="0" tint="-4.9989318521683403E-2"/>
      <name val="Times New Roman"/>
      <family val="1"/>
    </font>
    <font>
      <b/>
      <sz val="14"/>
      <color theme="0" tint="-4.9989318521683403E-2"/>
      <name val="Arial"/>
      <family val="2"/>
    </font>
    <font>
      <sz val="11"/>
      <color theme="0" tint="-4.9989318521683403E-2"/>
      <name val="Calibri"/>
      <family val="2"/>
      <charset val="134"/>
      <scheme val="minor"/>
    </font>
    <font>
      <sz val="1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5" fillId="0" borderId="0">
      <alignment vertical="center"/>
    </xf>
    <xf numFmtId="0" fontId="25" fillId="0" borderId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2">
    <xf numFmtId="0" fontId="0" fillId="0" borderId="0" xfId="0"/>
    <xf numFmtId="0" fontId="2" fillId="2" borderId="1" xfId="0" applyFont="1" applyFill="1" applyBorder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3" borderId="0" xfId="0" applyFont="1" applyFill="1" applyProtection="1">
      <protection locked="0"/>
    </xf>
    <xf numFmtId="0" fontId="2" fillId="4" borderId="0" xfId="0" applyFont="1" applyFill="1"/>
    <xf numFmtId="1" fontId="2" fillId="5" borderId="0" xfId="0" applyNumberFormat="1" applyFont="1" applyFill="1"/>
    <xf numFmtId="164" fontId="2" fillId="3" borderId="0" xfId="0" applyNumberFormat="1" applyFont="1" applyFill="1" applyProtection="1">
      <protection locked="0"/>
    </xf>
    <xf numFmtId="2" fontId="2" fillId="5" borderId="0" xfId="0" applyNumberFormat="1" applyFont="1" applyFill="1"/>
    <xf numFmtId="0" fontId="5" fillId="2" borderId="0" xfId="0" applyFont="1" applyFill="1"/>
    <xf numFmtId="164" fontId="2" fillId="5" borderId="0" xfId="0" applyNumberFormat="1" applyFont="1" applyFill="1"/>
    <xf numFmtId="2" fontId="2" fillId="2" borderId="0" xfId="0" applyNumberFormat="1" applyFont="1" applyFill="1"/>
    <xf numFmtId="0" fontId="6" fillId="2" borderId="0" xfId="0" applyFont="1" applyFill="1"/>
    <xf numFmtId="0" fontId="7" fillId="2" borderId="0" xfId="0" applyFont="1" applyFill="1"/>
    <xf numFmtId="0" fontId="7" fillId="4" borderId="0" xfId="0" applyFont="1" applyFill="1"/>
    <xf numFmtId="0" fontId="8" fillId="2" borderId="0" xfId="0" applyFont="1" applyFill="1" applyProtection="1">
      <protection hidden="1"/>
    </xf>
    <xf numFmtId="0" fontId="8" fillId="2" borderId="0" xfId="0" applyFont="1" applyFill="1"/>
    <xf numFmtId="0" fontId="2" fillId="2" borderId="0" xfId="0" quotePrefix="1" applyFont="1" applyFill="1"/>
    <xf numFmtId="165" fontId="8" fillId="2" borderId="0" xfId="0" applyNumberFormat="1" applyFont="1" applyFill="1" applyProtection="1">
      <protection hidden="1"/>
    </xf>
    <xf numFmtId="1" fontId="2" fillId="2" borderId="0" xfId="0" applyNumberFormat="1" applyFont="1" applyFill="1"/>
    <xf numFmtId="0" fontId="2" fillId="2" borderId="0" xfId="2" applyFont="1" applyFill="1"/>
    <xf numFmtId="0" fontId="2" fillId="4" borderId="0" xfId="2" applyFont="1" applyFill="1"/>
    <xf numFmtId="0" fontId="10" fillId="2" borderId="0" xfId="0" applyFont="1" applyFill="1"/>
    <xf numFmtId="0" fontId="11" fillId="4" borderId="0" xfId="0" applyFont="1" applyFill="1"/>
    <xf numFmtId="164" fontId="2" fillId="5" borderId="0" xfId="2" applyNumberFormat="1" applyFont="1" applyFill="1"/>
    <xf numFmtId="165" fontId="2" fillId="6" borderId="0" xfId="0" applyNumberFormat="1" applyFont="1" applyFill="1"/>
    <xf numFmtId="0" fontId="2" fillId="7" borderId="0" xfId="0" applyFont="1" applyFill="1"/>
    <xf numFmtId="1" fontId="2" fillId="2" borderId="1" xfId="0" applyNumberFormat="1" applyFont="1" applyFill="1" applyBorder="1"/>
    <xf numFmtId="0" fontId="12" fillId="2" borderId="0" xfId="0" applyFont="1" applyFill="1"/>
    <xf numFmtId="0" fontId="12" fillId="2" borderId="0" xfId="0" applyFont="1" applyFill="1" applyProtection="1">
      <protection hidden="1"/>
    </xf>
    <xf numFmtId="0" fontId="8" fillId="2" borderId="0" xfId="0" applyFont="1" applyFill="1" applyBorder="1" applyProtection="1">
      <protection hidden="1"/>
    </xf>
    <xf numFmtId="0" fontId="12" fillId="2" borderId="0" xfId="0" applyFont="1" applyFill="1" applyBorder="1" applyProtection="1">
      <protection hidden="1"/>
    </xf>
    <xf numFmtId="165" fontId="4" fillId="2" borderId="0" xfId="0" applyNumberFormat="1" applyFont="1" applyFill="1"/>
    <xf numFmtId="0" fontId="2" fillId="2" borderId="0" xfId="0" applyFont="1" applyFill="1" applyBorder="1"/>
    <xf numFmtId="0" fontId="13" fillId="2" borderId="0" xfId="0" applyFont="1" applyFill="1"/>
    <xf numFmtId="0" fontId="14" fillId="2" borderId="0" xfId="0" applyFont="1" applyFill="1"/>
    <xf numFmtId="0" fontId="12" fillId="2" borderId="0" xfId="0" applyFont="1" applyFill="1" applyBorder="1"/>
    <xf numFmtId="0" fontId="4" fillId="2" borderId="0" xfId="0" applyFont="1" applyFill="1" applyBorder="1"/>
    <xf numFmtId="0" fontId="2" fillId="2" borderId="0" xfId="0" applyFont="1" applyFill="1" applyProtection="1">
      <protection hidden="1"/>
    </xf>
    <xf numFmtId="0" fontId="2" fillId="2" borderId="0" xfId="0" applyFont="1" applyFill="1" applyBorder="1" applyProtection="1">
      <protection hidden="1"/>
    </xf>
    <xf numFmtId="0" fontId="0" fillId="2" borderId="0" xfId="0" applyFill="1"/>
    <xf numFmtId="11" fontId="15" fillId="0" borderId="0" xfId="3" applyNumberFormat="1">
      <alignment vertical="center"/>
    </xf>
    <xf numFmtId="0" fontId="0" fillId="2" borderId="2" xfId="0" applyFill="1" applyBorder="1"/>
    <xf numFmtId="0" fontId="0" fillId="2" borderId="0" xfId="0" applyFill="1" applyBorder="1"/>
    <xf numFmtId="0" fontId="0" fillId="2" borderId="6" xfId="0" applyFill="1" applyBorder="1"/>
    <xf numFmtId="0" fontId="0" fillId="5" borderId="2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2" borderId="10" xfId="0" applyFill="1" applyBorder="1"/>
    <xf numFmtId="0" fontId="0" fillId="5" borderId="9" xfId="0" applyFill="1" applyBorder="1"/>
    <xf numFmtId="11" fontId="0" fillId="5" borderId="10" xfId="0" applyNumberFormat="1" applyFill="1" applyBorder="1"/>
    <xf numFmtId="0" fontId="0" fillId="4" borderId="10" xfId="0" applyFill="1" applyBorder="1"/>
    <xf numFmtId="0" fontId="0" fillId="2" borderId="11" xfId="0" applyFill="1" applyBorder="1"/>
    <xf numFmtId="0" fontId="0" fillId="5" borderId="6" xfId="0" applyFill="1" applyBorder="1"/>
    <xf numFmtId="1" fontId="0" fillId="5" borderId="11" xfId="0" applyNumberFormat="1" applyFill="1" applyBorder="1"/>
    <xf numFmtId="0" fontId="0" fillId="4" borderId="11" xfId="0" applyFill="1" applyBorder="1"/>
    <xf numFmtId="0" fontId="0" fillId="5" borderId="12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11" fontId="0" fillId="3" borderId="13" xfId="0" applyNumberFormat="1" applyFill="1" applyBorder="1" applyProtection="1">
      <protection locked="0"/>
    </xf>
    <xf numFmtId="165" fontId="0" fillId="5" borderId="11" xfId="0" applyNumberFormat="1" applyFill="1" applyBorder="1"/>
    <xf numFmtId="0" fontId="0" fillId="2" borderId="13" xfId="0" applyFill="1" applyBorder="1"/>
    <xf numFmtId="0" fontId="0" fillId="5" borderId="14" xfId="0" applyFill="1" applyBorder="1"/>
    <xf numFmtId="11" fontId="0" fillId="5" borderId="13" xfId="0" applyNumberFormat="1" applyFill="1" applyBorder="1"/>
    <xf numFmtId="0" fontId="0" fillId="4" borderId="13" xfId="0" applyFill="1" applyBorder="1"/>
    <xf numFmtId="0" fontId="20" fillId="2" borderId="2" xfId="0" applyFont="1" applyFill="1" applyBorder="1" applyProtection="1"/>
    <xf numFmtId="0" fontId="20" fillId="0" borderId="10" xfId="0" applyFont="1" applyBorder="1" applyProtection="1"/>
    <xf numFmtId="0" fontId="20" fillId="4" borderId="10" xfId="0" applyFont="1" applyFill="1" applyBorder="1" applyProtection="1"/>
    <xf numFmtId="11" fontId="21" fillId="5" borderId="0" xfId="0" applyNumberFormat="1" applyFont="1" applyFill="1" applyBorder="1"/>
    <xf numFmtId="0" fontId="20" fillId="4" borderId="11" xfId="0" applyFont="1" applyFill="1" applyBorder="1" applyProtection="1"/>
    <xf numFmtId="166" fontId="21" fillId="5" borderId="0" xfId="0" applyNumberFormat="1" applyFont="1" applyFill="1" applyBorder="1"/>
    <xf numFmtId="0" fontId="0" fillId="5" borderId="10" xfId="0" applyNumberFormat="1" applyFill="1" applyBorder="1" applyProtection="1"/>
    <xf numFmtId="0" fontId="0" fillId="4" borderId="7" xfId="0" applyFill="1" applyBorder="1"/>
    <xf numFmtId="0" fontId="0" fillId="5" borderId="15" xfId="0" applyFill="1" applyBorder="1"/>
    <xf numFmtId="0" fontId="0" fillId="4" borderId="12" xfId="0" applyFill="1" applyBorder="1"/>
    <xf numFmtId="0" fontId="0" fillId="2" borderId="14" xfId="0" applyFill="1" applyBorder="1"/>
    <xf numFmtId="0" fontId="0" fillId="2" borderId="7" xfId="0" applyFill="1" applyBorder="1"/>
    <xf numFmtId="1" fontId="21" fillId="5" borderId="8" xfId="0" applyNumberFormat="1" applyFont="1" applyFill="1" applyBorder="1"/>
    <xf numFmtId="11" fontId="0" fillId="3" borderId="10" xfId="0" applyNumberFormat="1" applyFill="1" applyBorder="1" applyProtection="1">
      <protection locked="0"/>
    </xf>
    <xf numFmtId="0" fontId="0" fillId="2" borderId="12" xfId="0" applyFill="1" applyBorder="1"/>
    <xf numFmtId="166" fontId="21" fillId="5" borderId="1" xfId="0" applyNumberFormat="1" applyFont="1" applyFill="1" applyBorder="1"/>
    <xf numFmtId="0" fontId="20" fillId="4" borderId="13" xfId="0" applyFont="1" applyFill="1" applyBorder="1" applyProtection="1"/>
    <xf numFmtId="0" fontId="22" fillId="2" borderId="0" xfId="0" applyFont="1" applyFill="1"/>
    <xf numFmtId="0" fontId="22" fillId="0" borderId="0" xfId="0" applyFont="1"/>
    <xf numFmtId="0" fontId="23" fillId="2" borderId="0" xfId="0" applyFont="1" applyFill="1"/>
    <xf numFmtId="0" fontId="21" fillId="2" borderId="0" xfId="0" applyFont="1" applyFill="1"/>
    <xf numFmtId="2" fontId="21" fillId="5" borderId="10" xfId="0" applyNumberFormat="1" applyFont="1" applyFill="1" applyBorder="1"/>
    <xf numFmtId="2" fontId="21" fillId="5" borderId="11" xfId="0" applyNumberFormat="1" applyFont="1" applyFill="1" applyBorder="1"/>
    <xf numFmtId="0" fontId="20" fillId="0" borderId="11" xfId="0" applyFont="1" applyBorder="1" applyProtection="1"/>
    <xf numFmtId="11" fontId="26" fillId="3" borderId="13" xfId="0" applyNumberFormat="1" applyFont="1" applyFill="1" applyBorder="1" applyProtection="1"/>
    <xf numFmtId="0" fontId="0" fillId="4" borderId="13" xfId="0" applyFill="1" applyBorder="1" applyProtection="1"/>
    <xf numFmtId="166" fontId="8" fillId="2" borderId="0" xfId="0" applyNumberFormat="1" applyFont="1" applyFill="1" applyProtection="1">
      <protection hidden="1"/>
    </xf>
    <xf numFmtId="11" fontId="8" fillId="2" borderId="0" xfId="0" applyNumberFormat="1" applyFont="1" applyFill="1" applyProtection="1">
      <protection hidden="1"/>
    </xf>
    <xf numFmtId="0" fontId="8" fillId="2" borderId="0" xfId="0" applyFont="1" applyFill="1" applyBorder="1"/>
    <xf numFmtId="0" fontId="8" fillId="2" borderId="0" xfId="0" quotePrefix="1" applyFont="1" applyFill="1" applyProtection="1">
      <protection hidden="1"/>
    </xf>
    <xf numFmtId="11" fontId="8" fillId="2" borderId="0" xfId="0" applyNumberFormat="1" applyFont="1" applyFill="1" applyBorder="1" applyProtection="1">
      <protection hidden="1"/>
    </xf>
    <xf numFmtId="0" fontId="8" fillId="10" borderId="0" xfId="0" applyFont="1" applyFill="1" applyProtection="1"/>
    <xf numFmtId="0" fontId="0" fillId="11" borderId="10" xfId="0" applyFill="1" applyBorder="1" applyProtection="1"/>
    <xf numFmtId="0" fontId="0" fillId="4" borderId="9" xfId="0" applyFill="1" applyBorder="1" applyProtection="1"/>
    <xf numFmtId="0" fontId="0" fillId="11" borderId="11" xfId="0" applyFill="1" applyBorder="1" applyProtection="1"/>
    <xf numFmtId="0" fontId="0" fillId="4" borderId="6" xfId="0" applyFill="1" applyBorder="1" applyProtection="1"/>
    <xf numFmtId="11" fontId="0" fillId="5" borderId="11" xfId="0" applyNumberFormat="1" applyFill="1" applyBorder="1" applyProtection="1"/>
    <xf numFmtId="11" fontId="0" fillId="11" borderId="11" xfId="0" applyNumberFormat="1" applyFill="1" applyBorder="1" applyProtection="1"/>
    <xf numFmtId="11" fontId="0" fillId="11" borderId="13" xfId="0" applyNumberFormat="1" applyFill="1" applyBorder="1" applyProtection="1"/>
    <xf numFmtId="0" fontId="0" fillId="4" borderId="14" xfId="0" applyFill="1" applyBorder="1" applyProtection="1"/>
    <xf numFmtId="0" fontId="21" fillId="5" borderId="0" xfId="0" applyFont="1" applyFill="1" applyBorder="1" applyProtection="1"/>
    <xf numFmtId="0" fontId="2" fillId="3" borderId="0" xfId="2" applyFont="1" applyFill="1" applyProtection="1">
      <protection locked="0"/>
    </xf>
    <xf numFmtId="0" fontId="8" fillId="2" borderId="0" xfId="0" applyFont="1" applyFill="1" applyProtection="1"/>
    <xf numFmtId="0" fontId="8" fillId="10" borderId="0" xfId="0" applyFont="1" applyFill="1" applyAlignment="1" applyProtection="1">
      <alignment horizontal="right"/>
    </xf>
    <xf numFmtId="0" fontId="28" fillId="2" borderId="0" xfId="0" applyFont="1" applyFill="1"/>
    <xf numFmtId="164" fontId="2" fillId="3" borderId="0" xfId="0" applyNumberFormat="1" applyFont="1" applyFill="1" applyAlignment="1" applyProtection="1">
      <alignment horizontal="right" vertical="center"/>
      <protection locked="0"/>
    </xf>
    <xf numFmtId="0" fontId="2" fillId="10" borderId="0" xfId="0" applyFont="1" applyFill="1"/>
    <xf numFmtId="1" fontId="21" fillId="5" borderId="0" xfId="0" applyNumberFormat="1" applyFont="1" applyFill="1" applyBorder="1"/>
    <xf numFmtId="11" fontId="0" fillId="3" borderId="16" xfId="0" applyNumberFormat="1" applyFill="1" applyBorder="1" applyProtection="1">
      <protection locked="0"/>
    </xf>
    <xf numFmtId="0" fontId="2" fillId="2" borderId="0" xfId="2" applyFont="1" applyFill="1" applyAlignment="1">
      <alignment horizontal="left" vertical="center"/>
    </xf>
    <xf numFmtId="0" fontId="2" fillId="2" borderId="0" xfId="0" applyFont="1" applyFill="1" applyAlignment="1">
      <alignment horizontal="right"/>
    </xf>
    <xf numFmtId="164" fontId="2" fillId="3" borderId="0" xfId="0" applyNumberFormat="1" applyFont="1" applyFill="1" applyAlignment="1" applyProtection="1">
      <alignment vertical="center"/>
      <protection locked="0"/>
    </xf>
    <xf numFmtId="1" fontId="2" fillId="5" borderId="0" xfId="0" applyNumberFormat="1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0" fontId="7" fillId="3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>
      <alignment vertical="center"/>
    </xf>
    <xf numFmtId="164" fontId="7" fillId="5" borderId="0" xfId="0" applyNumberFormat="1" applyFont="1" applyFill="1" applyAlignment="1">
      <alignment vertical="center"/>
    </xf>
    <xf numFmtId="1" fontId="2" fillId="3" borderId="0" xfId="0" applyNumberFormat="1" applyFont="1" applyFill="1" applyAlignment="1" applyProtection="1">
      <alignment vertical="center"/>
      <protection locked="0"/>
    </xf>
    <xf numFmtId="1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165" fontId="11" fillId="5" borderId="0" xfId="0" applyNumberFormat="1" applyFont="1" applyFill="1" applyAlignment="1">
      <alignment vertical="center"/>
    </xf>
    <xf numFmtId="0" fontId="32" fillId="2" borderId="0" xfId="0" applyFont="1" applyFill="1" applyAlignment="1">
      <alignment horizontal="center" vertical="center"/>
    </xf>
    <xf numFmtId="164" fontId="8" fillId="10" borderId="0" xfId="0" applyNumberFormat="1" applyFont="1" applyFill="1" applyAlignment="1" applyProtection="1">
      <alignment horizontal="right" vertical="center"/>
    </xf>
    <xf numFmtId="1" fontId="2" fillId="5" borderId="0" xfId="0" applyNumberFormat="1" applyFont="1" applyFill="1" applyAlignment="1">
      <alignment horizontal="right"/>
    </xf>
    <xf numFmtId="0" fontId="25" fillId="2" borderId="0" xfId="0" applyFont="1" applyFill="1"/>
    <xf numFmtId="2" fontId="4" fillId="2" borderId="0" xfId="0" applyNumberFormat="1" applyFont="1" applyFill="1" applyAlignment="1">
      <alignment vertical="center"/>
    </xf>
    <xf numFmtId="0" fontId="33" fillId="2" borderId="0" xfId="0" applyFont="1" applyFill="1"/>
    <xf numFmtId="9" fontId="20" fillId="3" borderId="0" xfId="1" applyFont="1" applyFill="1" applyBorder="1" applyProtection="1">
      <protection locked="0"/>
    </xf>
    <xf numFmtId="0" fontId="30" fillId="2" borderId="2" xfId="0" applyFont="1" applyFill="1" applyBorder="1" applyAlignment="1">
      <alignment vertical="top" wrapText="1"/>
    </xf>
    <xf numFmtId="0" fontId="30" fillId="2" borderId="0" xfId="0" applyFont="1" applyFill="1" applyBorder="1" applyAlignment="1">
      <alignment vertical="top" wrapText="1"/>
    </xf>
    <xf numFmtId="164" fontId="2" fillId="12" borderId="0" xfId="0" applyNumberFormat="1" applyFont="1" applyFill="1" applyAlignment="1" applyProtection="1">
      <alignment vertical="center"/>
      <protection locked="0"/>
    </xf>
    <xf numFmtId="0" fontId="34" fillId="10" borderId="0" xfId="0" applyFont="1" applyFill="1"/>
    <xf numFmtId="0" fontId="35" fillId="2" borderId="0" xfId="0" applyFont="1" applyFill="1" applyProtection="1">
      <protection hidden="1"/>
    </xf>
    <xf numFmtId="0" fontId="34" fillId="2" borderId="0" xfId="0" applyFont="1" applyFill="1" applyProtection="1">
      <protection hidden="1"/>
    </xf>
    <xf numFmtId="1" fontId="34" fillId="2" borderId="0" xfId="0" applyNumberFormat="1" applyFont="1" applyFill="1" applyProtection="1">
      <protection hidden="1"/>
    </xf>
    <xf numFmtId="167" fontId="34" fillId="2" borderId="0" xfId="0" applyNumberFormat="1" applyFont="1" applyFill="1" applyProtection="1">
      <protection hidden="1"/>
    </xf>
    <xf numFmtId="11" fontId="34" fillId="2" borderId="0" xfId="0" applyNumberFormat="1" applyFont="1" applyFill="1" applyProtection="1">
      <protection hidden="1"/>
    </xf>
    <xf numFmtId="168" fontId="34" fillId="2" borderId="0" xfId="0" applyNumberFormat="1" applyFont="1" applyFill="1" applyProtection="1">
      <protection hidden="1"/>
    </xf>
    <xf numFmtId="0" fontId="34" fillId="2" borderId="0" xfId="0" applyFont="1" applyFill="1" applyBorder="1" applyProtection="1">
      <protection hidden="1"/>
    </xf>
    <xf numFmtId="0" fontId="34" fillId="0" borderId="0" xfId="0" applyFont="1" applyFill="1" applyBorder="1" applyProtection="1">
      <protection hidden="1"/>
    </xf>
    <xf numFmtId="1" fontId="34" fillId="2" borderId="0" xfId="0" applyNumberFormat="1" applyFont="1" applyFill="1" applyBorder="1" applyProtection="1">
      <protection hidden="1"/>
    </xf>
    <xf numFmtId="165" fontId="34" fillId="2" borderId="0" xfId="0" applyNumberFormat="1" applyFont="1" applyFill="1" applyProtection="1">
      <protection hidden="1"/>
    </xf>
    <xf numFmtId="4" fontId="34" fillId="2" borderId="0" xfId="0" applyNumberFormat="1" applyFont="1" applyFill="1" applyProtection="1">
      <protection hidden="1"/>
    </xf>
    <xf numFmtId="0" fontId="36" fillId="2" borderId="0" xfId="0" applyFont="1" applyFill="1" applyProtection="1">
      <protection hidden="1"/>
    </xf>
    <xf numFmtId="0" fontId="34" fillId="2" borderId="0" xfId="2" applyFont="1" applyFill="1" applyProtection="1">
      <protection hidden="1"/>
    </xf>
    <xf numFmtId="165" fontId="34" fillId="2" borderId="0" xfId="2" applyNumberFormat="1" applyFont="1" applyFill="1" applyProtection="1">
      <protection hidden="1"/>
    </xf>
    <xf numFmtId="169" fontId="34" fillId="2" borderId="0" xfId="0" applyNumberFormat="1" applyFont="1" applyFill="1" applyProtection="1">
      <protection hidden="1"/>
    </xf>
    <xf numFmtId="165" fontId="36" fillId="2" borderId="0" xfId="0" applyNumberFormat="1" applyFont="1" applyFill="1" applyProtection="1">
      <protection hidden="1"/>
    </xf>
    <xf numFmtId="0" fontId="34" fillId="2" borderId="0" xfId="0" applyFont="1" applyFill="1"/>
    <xf numFmtId="0" fontId="34" fillId="2" borderId="0" xfId="0" applyFont="1" applyFill="1" applyBorder="1"/>
    <xf numFmtId="0" fontId="34" fillId="2" borderId="0" xfId="0" applyFont="1" applyFill="1" applyBorder="1" applyAlignment="1">
      <alignment horizontal="center"/>
    </xf>
    <xf numFmtId="165" fontId="34" fillId="2" borderId="0" xfId="0" applyNumberFormat="1" applyFont="1" applyFill="1" applyBorder="1" applyAlignment="1">
      <alignment horizontal="center"/>
    </xf>
    <xf numFmtId="2" fontId="34" fillId="2" borderId="0" xfId="0" applyNumberFormat="1" applyFont="1" applyFill="1" applyBorder="1" applyAlignment="1">
      <alignment horizontal="center"/>
    </xf>
    <xf numFmtId="165" fontId="34" fillId="2" borderId="0" xfId="0" applyNumberFormat="1" applyFont="1" applyFill="1" applyBorder="1"/>
    <xf numFmtId="170" fontId="34" fillId="2" borderId="0" xfId="0" applyNumberFormat="1" applyFont="1" applyFill="1"/>
    <xf numFmtId="0" fontId="37" fillId="2" borderId="0" xfId="0" applyFont="1" applyFill="1"/>
    <xf numFmtId="0" fontId="38" fillId="2" borderId="0" xfId="0" applyFont="1" applyFill="1" applyBorder="1" applyProtection="1"/>
    <xf numFmtId="2" fontId="37" fillId="2" borderId="0" xfId="0" applyNumberFormat="1" applyFont="1" applyFill="1" applyBorder="1"/>
    <xf numFmtId="0" fontId="39" fillId="2" borderId="0" xfId="0" applyFont="1" applyFill="1"/>
    <xf numFmtId="11" fontId="37" fillId="2" borderId="0" xfId="0" applyNumberFormat="1" applyFont="1" applyFill="1"/>
    <xf numFmtId="0" fontId="37" fillId="2" borderId="0" xfId="0" applyFont="1" applyFill="1" applyAlignment="1">
      <alignment horizontal="center"/>
    </xf>
    <xf numFmtId="11" fontId="40" fillId="0" borderId="0" xfId="3" applyNumberFormat="1" applyFont="1">
      <alignment vertical="center"/>
    </xf>
    <xf numFmtId="0" fontId="34" fillId="2" borderId="0" xfId="0" applyFont="1" applyFill="1" applyAlignment="1">
      <alignment horizontal="center"/>
    </xf>
    <xf numFmtId="0" fontId="37" fillId="2" borderId="0" xfId="0" quotePrefix="1" applyFont="1" applyFill="1"/>
    <xf numFmtId="0" fontId="37" fillId="2" borderId="0" xfId="4" quotePrefix="1" applyFont="1" applyFill="1"/>
    <xf numFmtId="0" fontId="37" fillId="2" borderId="0" xfId="4" applyFont="1" applyFill="1"/>
    <xf numFmtId="0" fontId="41" fillId="4" borderId="13" xfId="0" applyFont="1" applyFill="1" applyBorder="1" applyProtection="1"/>
    <xf numFmtId="2" fontId="24" fillId="5" borderId="13" xfId="0" applyNumberFormat="1" applyFont="1" applyFill="1" applyBorder="1"/>
    <xf numFmtId="0" fontId="41" fillId="0" borderId="13" xfId="0" applyFont="1" applyBorder="1" applyProtection="1"/>
    <xf numFmtId="0" fontId="8" fillId="10" borderId="0" xfId="0" applyFont="1" applyFill="1"/>
    <xf numFmtId="0" fontId="0" fillId="5" borderId="12" xfId="0" applyFill="1" applyBorder="1" applyAlignment="1"/>
    <xf numFmtId="0" fontId="0" fillId="0" borderId="14" xfId="0" applyBorder="1" applyAlignment="1"/>
    <xf numFmtId="0" fontId="0" fillId="5" borderId="7" xfId="0" applyFill="1" applyBorder="1" applyAlignment="1"/>
    <xf numFmtId="0" fontId="0" fillId="0" borderId="9" xfId="0" applyBorder="1" applyAlignment="1"/>
    <xf numFmtId="0" fontId="27" fillId="5" borderId="12" xfId="0" applyFont="1" applyFill="1" applyBorder="1" applyAlignment="1" applyProtection="1"/>
    <xf numFmtId="0" fontId="27" fillId="0" borderId="14" xfId="0" applyFont="1" applyBorder="1" applyAlignment="1" applyProtection="1"/>
    <xf numFmtId="0" fontId="34" fillId="2" borderId="0" xfId="0" applyFont="1" applyFill="1" applyAlignment="1">
      <alignment horizontal="center"/>
    </xf>
    <xf numFmtId="0" fontId="0" fillId="5" borderId="7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2" borderId="2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9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9" borderId="3" xfId="0" applyFill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2" fillId="9" borderId="3" xfId="0" applyFont="1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2" fillId="9" borderId="4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15" fillId="0" borderId="0" xfId="3" applyAlignment="1">
      <alignment horizontal="center" vertical="center"/>
    </xf>
    <xf numFmtId="0" fontId="16" fillId="8" borderId="0" xfId="0" applyFont="1" applyFill="1" applyAlignment="1">
      <alignment horizontal="center"/>
    </xf>
    <xf numFmtId="0" fontId="0" fillId="0" borderId="0" xfId="0" applyAlignment="1"/>
    <xf numFmtId="0" fontId="17" fillId="2" borderId="2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top" wrapText="1"/>
    </xf>
    <xf numFmtId="0" fontId="18" fillId="8" borderId="0" xfId="0" applyFont="1" applyFill="1" applyAlignment="1">
      <alignment horizontal="center"/>
    </xf>
  </cellXfs>
  <cellStyles count="7">
    <cellStyle name="Normal" xfId="0" builtinId="0"/>
    <cellStyle name="Normal 2" xfId="2"/>
    <cellStyle name="Normal 3" xfId="4"/>
    <cellStyle name="Normal 4" xfId="3"/>
    <cellStyle name="Percent" xfId="1" builtinId="5"/>
    <cellStyle name="Percent 2" xfId="6"/>
    <cellStyle name="Percent 3" xfId="5"/>
  </cellStyles>
  <dxfs count="6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FFF99"/>
      <color rgb="FFFFFF66"/>
      <color rgb="FFCC9900"/>
      <color rgb="FFFFCC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Power Loss Distribution Chart</a:t>
            </a:r>
          </a:p>
        </c:rich>
      </c:tx>
      <c:layout>
        <c:manualLayout>
          <c:xMode val="edge"/>
          <c:yMode val="edge"/>
          <c:x val="0.30381468498736203"/>
          <c:y val="3.10421286031042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23978201634879"/>
          <c:y val="0.12532854445825853"/>
          <c:w val="0.8479459948616066"/>
          <c:h val="0.74612822519992017"/>
        </c:manualLayout>
      </c:layout>
      <c:barChart>
        <c:barDir val="col"/>
        <c:grouping val="stacked"/>
        <c:varyColors val="0"/>
        <c:ser>
          <c:idx val="0"/>
          <c:order val="0"/>
          <c:tx>
            <c:v>Conduction Losses</c:v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'Power Loss'!$J$28:$J$32</c:f>
              <c:strCache>
                <c:ptCount val="5"/>
                <c:pt idx="0">
                  <c:v>Upper MOSFET</c:v>
                </c:pt>
                <c:pt idx="1">
                  <c:v>Lower MOSFET</c:v>
                </c:pt>
                <c:pt idx="2">
                  <c:v>Driver</c:v>
                </c:pt>
                <c:pt idx="3">
                  <c:v>Output Inductor</c:v>
                </c:pt>
                <c:pt idx="4">
                  <c:v>Ouput Cap. ESR</c:v>
                </c:pt>
              </c:strCache>
            </c:strRef>
          </c:cat>
          <c:val>
            <c:numRef>
              <c:f>'Power Loss'!$K$28:$K$32</c:f>
              <c:numCache>
                <c:formatCode>0.000</c:formatCode>
                <c:ptCount val="5"/>
                <c:pt idx="0">
                  <c:v>3.2585376742587185E-2</c:v>
                </c:pt>
                <c:pt idx="1">
                  <c:v>9.153514465799617E-2</c:v>
                </c:pt>
                <c:pt idx="3">
                  <c:v>5.8239746093749992E-3</c:v>
                </c:pt>
                <c:pt idx="4" formatCode="0.000E+00">
                  <c:v>2.9427664620535715E-5</c:v>
                </c:pt>
              </c:numCache>
            </c:numRef>
          </c:val>
        </c:ser>
        <c:ser>
          <c:idx val="1"/>
          <c:order val="1"/>
          <c:tx>
            <c:v>Switching Losses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'Power Loss'!$J$28:$J$32</c:f>
              <c:strCache>
                <c:ptCount val="5"/>
                <c:pt idx="0">
                  <c:v>Upper MOSFET</c:v>
                </c:pt>
                <c:pt idx="1">
                  <c:v>Lower MOSFET</c:v>
                </c:pt>
                <c:pt idx="2">
                  <c:v>Driver</c:v>
                </c:pt>
                <c:pt idx="3">
                  <c:v>Output Inductor</c:v>
                </c:pt>
                <c:pt idx="4">
                  <c:v>Ouput Cap. ESR</c:v>
                </c:pt>
              </c:strCache>
            </c:strRef>
          </c:cat>
          <c:val>
            <c:numRef>
              <c:f>'Power Loss'!$L$28:$L$32</c:f>
              <c:numCache>
                <c:formatCode>0.000</c:formatCode>
                <c:ptCount val="5"/>
                <c:pt idx="0">
                  <c:v>0.23855987170838958</c:v>
                </c:pt>
                <c:pt idx="1">
                  <c:v>7.8665803080964894E-2</c:v>
                </c:pt>
                <c:pt idx="2">
                  <c:v>1E-3</c:v>
                </c:pt>
                <c:pt idx="3">
                  <c:v>2.8090146329760031E-3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5223040"/>
        <c:axId val="226780672"/>
      </c:barChart>
      <c:catAx>
        <c:axId val="225223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Component</a:t>
                </a:r>
              </a:p>
            </c:rich>
          </c:tx>
          <c:layout>
            <c:manualLayout>
              <c:xMode val="edge"/>
              <c:yMode val="edge"/>
              <c:x val="0.48268777499245885"/>
              <c:y val="0.935846264830931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26780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780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Watts</a:t>
                </a:r>
              </a:p>
            </c:rich>
          </c:tx>
          <c:layout>
            <c:manualLayout>
              <c:xMode val="edge"/>
              <c:yMode val="edge"/>
              <c:x val="2.0435965979813949E-2"/>
              <c:y val="0.43237297111696954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2522304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882472253715972"/>
          <c:y val="0.12571042654755873"/>
          <c:w val="0.21312211138733153"/>
          <c:h val="9.9778503296843984E-2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solidFill>
        <a:sysClr val="windowText" lastClr="000000"/>
      </a:solidFill>
    </a:ln>
  </c:spPr>
  <c:txPr>
    <a:bodyPr/>
    <a:lstStyle/>
    <a:p>
      <a:pPr>
        <a:defRPr sz="1200" b="0" i="0" u="none" strike="noStrike" baseline="0">
          <a:ln>
            <a:noFill/>
          </a:ln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Efficiency Vs. Load </a:t>
            </a:r>
          </a:p>
        </c:rich>
      </c:tx>
      <c:layout>
        <c:manualLayout>
          <c:xMode val="edge"/>
          <c:yMode val="edge"/>
          <c:x val="0.3307892047845164"/>
          <c:y val="2.92397660818713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62304902726853E-2"/>
          <c:y val="0.16374300176466894"/>
          <c:w val="0.88634542819552131"/>
          <c:h val="0.73879282939058954"/>
        </c:manualLayout>
      </c:layout>
      <c:scatterChart>
        <c:scatterStyle val="smoothMarker"/>
        <c:varyColors val="0"/>
        <c:ser>
          <c:idx val="0"/>
          <c:order val="0"/>
          <c:tx>
            <c:v>PWM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'Efficiency Summary'!$A$13:$A$41</c:f>
              <c:numCache>
                <c:formatCode>General</c:formatCode>
                <c:ptCount val="29"/>
                <c:pt idx="0">
                  <c:v>1E-3</c:v>
                </c:pt>
                <c:pt idx="1">
                  <c:v>1.9989999999999999E-3</c:v>
                </c:pt>
                <c:pt idx="2">
                  <c:v>2.9980000000000002E-3</c:v>
                </c:pt>
                <c:pt idx="3">
                  <c:v>4.9960000000000004E-3</c:v>
                </c:pt>
                <c:pt idx="4">
                  <c:v>6.9940000000000002E-3</c:v>
                </c:pt>
                <c:pt idx="5">
                  <c:v>8.992E-3</c:v>
                </c:pt>
                <c:pt idx="6">
                  <c:v>1.099E-2</c:v>
                </c:pt>
                <c:pt idx="7">
                  <c:v>2.0980000000000002E-2</c:v>
                </c:pt>
                <c:pt idx="8">
                  <c:v>4.0960000000000003E-2</c:v>
                </c:pt>
                <c:pt idx="9">
                  <c:v>6.0940000000000001E-2</c:v>
                </c:pt>
                <c:pt idx="10">
                  <c:v>8.0920000000000006E-2</c:v>
                </c:pt>
                <c:pt idx="11">
                  <c:v>0.1009</c:v>
                </c:pt>
                <c:pt idx="12">
                  <c:v>0.15084999999999998</c:v>
                </c:pt>
                <c:pt idx="13">
                  <c:v>0.20080000000000001</c:v>
                </c:pt>
                <c:pt idx="14">
                  <c:v>0.25074999999999997</c:v>
                </c:pt>
                <c:pt idx="15">
                  <c:v>0.35064999999999996</c:v>
                </c:pt>
                <c:pt idx="16">
                  <c:v>0.40060000000000001</c:v>
                </c:pt>
                <c:pt idx="17">
                  <c:v>0.45055000000000001</c:v>
                </c:pt>
                <c:pt idx="18">
                  <c:v>0.50049999999999994</c:v>
                </c:pt>
                <c:pt idx="19">
                  <c:v>0.55044999999999999</c:v>
                </c:pt>
                <c:pt idx="20">
                  <c:v>0.60039999999999993</c:v>
                </c:pt>
                <c:pt idx="21">
                  <c:v>0.65034999999999998</c:v>
                </c:pt>
                <c:pt idx="22">
                  <c:v>0.70029999999999992</c:v>
                </c:pt>
                <c:pt idx="23">
                  <c:v>0.75024999999999997</c:v>
                </c:pt>
                <c:pt idx="24">
                  <c:v>0.80020000000000002</c:v>
                </c:pt>
                <c:pt idx="25">
                  <c:v>0.85014999999999996</c:v>
                </c:pt>
                <c:pt idx="26">
                  <c:v>0.90010000000000001</c:v>
                </c:pt>
                <c:pt idx="27">
                  <c:v>0.95004999999999995</c:v>
                </c:pt>
                <c:pt idx="28">
                  <c:v>1</c:v>
                </c:pt>
              </c:numCache>
            </c:numRef>
          </c:xVal>
          <c:yVal>
            <c:numRef>
              <c:f>'Efficiency Summary'!$C$13:$C$41</c:f>
              <c:numCache>
                <c:formatCode>0.00</c:formatCode>
                <c:ptCount val="29"/>
                <c:pt idx="0">
                  <c:v>5.6525188304947882</c:v>
                </c:pt>
                <c:pt idx="1">
                  <c:v>10.675587786660792</c:v>
                </c:pt>
                <c:pt idx="2">
                  <c:v>15.172979869245429</c:v>
                </c:pt>
                <c:pt idx="3">
                  <c:v>22.889270068902164</c:v>
                </c:pt>
                <c:pt idx="4">
                  <c:v>29.269392251968245</c:v>
                </c:pt>
                <c:pt idx="5">
                  <c:v>34.63236147036686</c:v>
                </c:pt>
                <c:pt idx="6">
                  <c:v>39.203121742839144</c:v>
                </c:pt>
                <c:pt idx="7">
                  <c:v>54.654161977704554</c:v>
                </c:pt>
                <c:pt idx="8">
                  <c:v>69.27305487833803</c:v>
                </c:pt>
                <c:pt idx="9">
                  <c:v>76.252111746258848</c:v>
                </c:pt>
                <c:pt idx="10">
                  <c:v>80.304760016032347</c:v>
                </c:pt>
                <c:pt idx="11">
                  <c:v>82.927539798593656</c:v>
                </c:pt>
                <c:pt idx="12">
                  <c:v>86.5856095837905</c:v>
                </c:pt>
                <c:pt idx="13">
                  <c:v>88.342477273460887</c:v>
                </c:pt>
                <c:pt idx="14">
                  <c:v>89.194227748281349</c:v>
                </c:pt>
                <c:pt idx="15">
                  <c:v>89.189571554633318</c:v>
                </c:pt>
                <c:pt idx="16">
                  <c:v>89.703803107675427</c:v>
                </c:pt>
                <c:pt idx="17">
                  <c:v>90.103487992393454</c:v>
                </c:pt>
                <c:pt idx="18">
                  <c:v>90.405699372290499</c:v>
                </c:pt>
                <c:pt idx="19">
                  <c:v>90.636042248412835</c:v>
                </c:pt>
                <c:pt idx="20">
                  <c:v>90.811892765706091</c:v>
                </c:pt>
                <c:pt idx="21">
                  <c:v>90.94545800065238</c:v>
                </c:pt>
                <c:pt idx="22">
                  <c:v>91.045564965766332</c:v>
                </c:pt>
                <c:pt idx="23">
                  <c:v>91.118754710281294</c:v>
                </c:pt>
                <c:pt idx="24">
                  <c:v>91.169977278647636</c:v>
                </c:pt>
                <c:pt idx="25">
                  <c:v>91.203047670728765</c:v>
                </c:pt>
                <c:pt idx="26">
                  <c:v>91.220953496379934</c:v>
                </c:pt>
                <c:pt idx="27">
                  <c:v>91.226067708016814</c:v>
                </c:pt>
                <c:pt idx="28">
                  <c:v>91.230191445727783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405056"/>
        <c:axId val="233937536"/>
      </c:scatterChart>
      <c:valAx>
        <c:axId val="233405056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Output Current (A)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3937536"/>
        <c:crosses val="autoZero"/>
        <c:crossBetween val="midCat"/>
      </c:valAx>
      <c:valAx>
        <c:axId val="233937536"/>
        <c:scaling>
          <c:orientation val="minMax"/>
          <c:max val="10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Efficiency (%)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3405056"/>
        <c:crossesAt val="0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823010550963087E-2"/>
          <c:y val="7.0422632073382577E-2"/>
          <c:w val="0.86346653263545869"/>
          <c:h val="0.8619730165782028"/>
        </c:manualLayout>
      </c:layout>
      <c:scatterChart>
        <c:scatterStyle val="smoothMarker"/>
        <c:varyColors val="0"/>
        <c:ser>
          <c:idx val="3"/>
          <c:order val="0"/>
          <c:tx>
            <c:v>T(s) Gain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Compensation!$AG$64:$AG$264</c:f>
              <c:numCache>
                <c:formatCode>General</c:formatCode>
                <c:ptCount val="201"/>
                <c:pt idx="0">
                  <c:v>21.026362210268825</c:v>
                </c:pt>
                <c:pt idx="1">
                  <c:v>21.026070596243049</c:v>
                </c:pt>
                <c:pt idx="2">
                  <c:v>21.025750867794116</c:v>
                </c:pt>
                <c:pt idx="3">
                  <c:v>21.025400316529264</c:v>
                </c:pt>
                <c:pt idx="4">
                  <c:v>21.025015973570511</c:v>
                </c:pt>
                <c:pt idx="5">
                  <c:v>21.024594584587753</c:v>
                </c:pt>
                <c:pt idx="6">
                  <c:v>21.02413258245662</c:v>
                </c:pt>
                <c:pt idx="7">
                  <c:v>21.023626057318317</c:v>
                </c:pt>
                <c:pt idx="8">
                  <c:v>21.023070723798721</c:v>
                </c:pt>
                <c:pt idx="9">
                  <c:v>21.022461885122535</c:v>
                </c:pt>
                <c:pt idx="10">
                  <c:v>21.021794393833598</c:v>
                </c:pt>
                <c:pt idx="11">
                  <c:v>21.021062608809487</c:v>
                </c:pt>
                <c:pt idx="12">
                  <c:v>21.020260348227605</c:v>
                </c:pt>
                <c:pt idx="13">
                  <c:v>21.019380838114017</c:v>
                </c:pt>
                <c:pt idx="14">
                  <c:v>21.018416656070748</c:v>
                </c:pt>
                <c:pt idx="15">
                  <c:v>21.01735966974665</c:v>
                </c:pt>
                <c:pt idx="16">
                  <c:v>21.016200969579661</c:v>
                </c:pt>
                <c:pt idx="17">
                  <c:v>21.014930795295378</c:v>
                </c:pt>
                <c:pt idx="18">
                  <c:v>21.013538455614665</c:v>
                </c:pt>
                <c:pt idx="19">
                  <c:v>21.012012240569696</c:v>
                </c:pt>
                <c:pt idx="20">
                  <c:v>21.010339325787353</c:v>
                </c:pt>
                <c:pt idx="21">
                  <c:v>21.008505668051694</c:v>
                </c:pt>
                <c:pt idx="22">
                  <c:v>21.006495891403652</c:v>
                </c:pt>
                <c:pt idx="23">
                  <c:v>21.00429316298635</c:v>
                </c:pt>
                <c:pt idx="24">
                  <c:v>21.001879057793964</c:v>
                </c:pt>
                <c:pt idx="25">
                  <c:v>20.999233411424598</c:v>
                </c:pt>
                <c:pt idx="26">
                  <c:v>20.996334159887297</c:v>
                </c:pt>
                <c:pt idx="27">
                  <c:v>20.993157165462414</c:v>
                </c:pt>
                <c:pt idx="28">
                  <c:v>20.989676027562538</c:v>
                </c:pt>
                <c:pt idx="29">
                  <c:v>20.985861877497527</c:v>
                </c:pt>
                <c:pt idx="30">
                  <c:v>20.98168315600876</c:v>
                </c:pt>
                <c:pt idx="31">
                  <c:v>20.977105372404949</c:v>
                </c:pt>
                <c:pt idx="32">
                  <c:v>20.972090844113534</c:v>
                </c:pt>
                <c:pt idx="33">
                  <c:v>20.966598415456168</c:v>
                </c:pt>
                <c:pt idx="34">
                  <c:v>20.960583154470974</c:v>
                </c:pt>
                <c:pt idx="35">
                  <c:v>20.953996026640095</c:v>
                </c:pt>
                <c:pt idx="36">
                  <c:v>20.946783544450469</c:v>
                </c:pt>
                <c:pt idx="37">
                  <c:v>20.938887391815403</c:v>
                </c:pt>
                <c:pt idx="38">
                  <c:v>20.930244022530108</c:v>
                </c:pt>
                <c:pt idx="39">
                  <c:v>20.920784232135077</c:v>
                </c:pt>
                <c:pt idx="40">
                  <c:v>20.910432702819058</c:v>
                </c:pt>
                <c:pt idx="41">
                  <c:v>20.899107521321913</c:v>
                </c:pt>
                <c:pt idx="42">
                  <c:v>20.886719670222654</c:v>
                </c:pt>
                <c:pt idx="43">
                  <c:v>20.873172493502224</c:v>
                </c:pt>
                <c:pt idx="44">
                  <c:v>20.858361137902278</c:v>
                </c:pt>
                <c:pt idx="45">
                  <c:v>20.842171972346016</c:v>
                </c:pt>
                <c:pt idx="46">
                  <c:v>20.824481988575933</c:v>
                </c:pt>
                <c:pt idx="47">
                  <c:v>20.805158187199993</c:v>
                </c:pt>
                <c:pt idx="48">
                  <c:v>20.784056954536119</c:v>
                </c:pt>
                <c:pt idx="49">
                  <c:v>20.761023437011108</c:v>
                </c:pt>
                <c:pt idx="50">
                  <c:v>20.735890921410153</c:v>
                </c:pt>
                <c:pt idx="51">
                  <c:v>20.708480230972029</c:v>
                </c:pt>
                <c:pt idx="52">
                  <c:v>20.678599149183366</c:v>
                </c:pt>
                <c:pt idx="53">
                  <c:v>20.646041885109675</c:v>
                </c:pt>
                <c:pt idx="54">
                  <c:v>20.610588596164522</c:v>
                </c:pt>
                <c:pt idx="55">
                  <c:v>20.572004986315704</c:v>
                </c:pt>
                <c:pt idx="56">
                  <c:v>20.530041999772198</c:v>
                </c:pt>
                <c:pt idx="57">
                  <c:v>20.484435632078256</c:v>
                </c:pt>
                <c:pt idx="58">
                  <c:v>20.43490688214878</c:v>
                </c:pt>
                <c:pt idx="59">
                  <c:v>20.381161869941824</c:v>
                </c:pt>
                <c:pt idx="60">
                  <c:v>20.322892145011732</c:v>
                </c:pt>
                <c:pt idx="61">
                  <c:v>20.259775210921962</c:v>
                </c:pt>
                <c:pt idx="62">
                  <c:v>20.191475289201641</c:v>
                </c:pt>
                <c:pt idx="63">
                  <c:v>20.117644344006397</c:v>
                </c:pt>
                <c:pt idx="64">
                  <c:v>20.037923384689556</c:v>
                </c:pt>
                <c:pt idx="65">
                  <c:v>19.951944057955714</c:v>
                </c:pt>
                <c:pt idx="66">
                  <c:v>19.859330534050969</c:v>
                </c:pt>
                <c:pt idx="67">
                  <c:v>19.759701682557754</c:v>
                </c:pt>
                <c:pt idx="68">
                  <c:v>19.652673522890662</c:v>
                </c:pt>
                <c:pt idx="69">
                  <c:v>19.537861922813466</c:v>
                </c:pt>
                <c:pt idx="70">
                  <c:v>19.414885505601614</c:v>
                </c:pt>
                <c:pt idx="71">
                  <c:v>19.283368713442073</c:v>
                </c:pt>
                <c:pt idx="72">
                  <c:v>19.142944962005366</c:v>
                </c:pt>
                <c:pt idx="73">
                  <c:v>18.99325980968786</c:v>
                </c:pt>
                <c:pt idx="74">
                  <c:v>18.833974055707571</c:v>
                </c:pt>
                <c:pt idx="75">
                  <c:v>18.664766674962731</c:v>
                </c:pt>
                <c:pt idx="76">
                  <c:v>18.485337495144648</c:v>
                </c:pt>
                <c:pt idx="77">
                  <c:v>18.295409523691614</c:v>
                </c:pt>
                <c:pt idx="78">
                  <c:v>18.09473083916647</c:v>
                </c:pt>
                <c:pt idx="79">
                  <c:v>17.88307597360085</c:v>
                </c:pt>
                <c:pt idx="80">
                  <c:v>17.660246728961809</c:v>
                </c:pt>
                <c:pt idx="81">
                  <c:v>17.426072391479536</c:v>
                </c:pt>
                <c:pt idx="82">
                  <c:v>17.180409331106098</c:v>
                </c:pt>
                <c:pt idx="83">
                  <c:v>16.923139998567066</c:v>
                </c:pt>
                <c:pt idx="84">
                  <c:v>16.654171357884007</c:v>
                </c:pt>
                <c:pt idx="85">
                  <c:v>16.373432816407941</c:v>
                </c:pt>
                <c:pt idx="86">
                  <c:v>16.080873735938763</c:v>
                </c:pt>
                <c:pt idx="87">
                  <c:v>15.776460626246831</c:v>
                </c:pt>
                <c:pt idx="88">
                  <c:v>15.460174135368927</c:v>
                </c:pt>
                <c:pt idx="89">
                  <c:v>15.132005958894247</c:v>
                </c:pt>
                <c:pt idx="90">
                  <c:v>14.791955792881595</c:v>
                </c:pt>
                <c:pt idx="91">
                  <c:v>14.440028452171635</c:v>
                </c:pt>
                <c:pt idx="92">
                  <c:v>14.076231268075315</c:v>
                </c:pt>
                <c:pt idx="93">
                  <c:v>13.700571867280493</c:v>
                </c:pt>
                <c:pt idx="94">
                  <c:v>13.313056418035817</c:v>
                </c:pt>
                <c:pt idx="95">
                  <c:v>12.913688410973762</c:v>
                </c:pt>
                <c:pt idx="96">
                  <c:v>12.502468021083502</c:v>
                </c:pt>
                <c:pt idx="97">
                  <c:v>12.079392075066622</c:v>
                </c:pt>
                <c:pt idx="98">
                  <c:v>11.644454625311248</c:v>
                </c:pt>
                <c:pt idx="99">
                  <c:v>11.197648108682754</c:v>
                </c:pt>
                <c:pt idx="100">
                  <c:v>10.738965045945953</c:v>
                </c:pt>
                <c:pt idx="101">
                  <c:v>10.268400216589894</c:v>
                </c:pt>
                <c:pt idx="102">
                  <c:v>9.7859532248703083</c:v>
                </c:pt>
                <c:pt idx="103">
                  <c:v>9.291631356747116</c:v>
                </c:pt>
                <c:pt idx="104">
                  <c:v>8.7854526148382632</c:v>
                </c:pt>
                <c:pt idx="105">
                  <c:v>8.2674488102278705</c:v>
                </c:pt>
                <c:pt idx="106">
                  <c:v>7.7376685865471373</c:v>
                </c:pt>
                <c:pt idx="107">
                  <c:v>7.1961802535919075</c:v>
                </c:pt>
                <c:pt idx="108">
                  <c:v>6.6430743150095948</c:v>
                </c:pt>
                <c:pt idx="109">
                  <c:v>6.0784655871080693</c:v>
                </c:pt>
                <c:pt idx="110">
                  <c:v>5.5024948231146409</c:v>
                </c:pt>
                <c:pt idx="111">
                  <c:v>4.9153297783945575</c:v>
                </c:pt>
                <c:pt idx="112">
                  <c:v>4.317165676082527</c:v>
                </c:pt>
                <c:pt idx="113">
                  <c:v>3.7082250579329945</c:v>
                </c:pt>
                <c:pt idx="114">
                  <c:v>3.0887570304794214</c:v>
                </c:pt>
                <c:pt idx="115">
                  <c:v>2.4590359403694211</c:v>
                </c:pt>
                <c:pt idx="116">
                  <c:v>1.8193595336877908</c:v>
                </c:pt>
                <c:pt idx="117">
                  <c:v>1.1700466711646353</c:v>
                </c:pt>
                <c:pt idx="118">
                  <c:v>0.51143468363508071</c:v>
                </c:pt>
                <c:pt idx="119">
                  <c:v>-0.15612354034760381</c:v>
                </c:pt>
                <c:pt idx="120">
                  <c:v>-0.8322626402429768</c:v>
                </c:pt>
                <c:pt idx="121">
                  <c:v>-1.5166079500545637</c:v>
                </c:pt>
                <c:pt idx="122">
                  <c:v>-2.2087786590222831</c:v>
                </c:pt>
                <c:pt idx="123">
                  <c:v>-2.9083908888649352</c:v>
                </c:pt>
                <c:pt idx="124">
                  <c:v>-3.615060621222062</c:v>
                </c:pt>
                <c:pt idx="125">
                  <c:v>-4.3284064215063367</c:v>
                </c:pt>
                <c:pt idx="126">
                  <c:v>-5.048051918416169</c:v>
                </c:pt>
                <c:pt idx="127">
                  <c:v>-5.7736280111103211</c:v>
                </c:pt>
                <c:pt idx="128">
                  <c:v>-6.5047747879574578</c:v>
                </c:pt>
                <c:pt idx="129">
                  <c:v>-7.2411431513827456</c:v>
                </c:pt>
                <c:pt idx="130">
                  <c:v>-7.9823961524160243</c:v>
                </c:pt>
                <c:pt idx="131">
                  <c:v>-8.7282100459301546</c:v>
                </c:pt>
                <c:pt idx="132">
                  <c:v>-9.4782750832784011</c:v>
                </c:pt>
                <c:pt idx="133">
                  <c:v>-10.23229606315547</c:v>
                </c:pt>
                <c:pt idx="134">
                  <c:v>-10.989992664174203</c:v>
                </c:pt>
                <c:pt idx="135">
                  <c:v>-11.751099584070516</c:v>
                </c:pt>
                <c:pt idx="136">
                  <c:v>-12.515366510812944</c:v>
                </c:pt>
                <c:pt idx="137">
                  <c:v>-13.282557950427469</c:v>
                </c:pt>
                <c:pt idx="138">
                  <c:v>-14.05245293523947</c:v>
                </c:pt>
                <c:pt idx="139">
                  <c:v>-14.824844634677721</c:v>
                </c:pt>
                <c:pt idx="140">
                  <c:v>-15.599539888918738</c:v>
                </c:pt>
                <c:pt idx="141">
                  <c:v>-16.376358683625888</c:v>
                </c:pt>
                <c:pt idx="142">
                  <c:v>-17.15513358194179</c:v>
                </c:pt>
                <c:pt idx="143">
                  <c:v>-17.935709127826385</c:v>
                </c:pt>
                <c:pt idx="144">
                  <c:v>-18.717941232839486</c:v>
                </c:pt>
                <c:pt idx="145">
                  <c:v>-19.501696556599864</c:v>
                </c:pt>
                <c:pt idx="146">
                  <c:v>-20.286851889438093</c:v>
                </c:pt>
                <c:pt idx="147">
                  <c:v>-21.07329354420887</c:v>
                </c:pt>
                <c:pt idx="148">
                  <c:v>-21.860916762846074</c:v>
                </c:pt>
                <c:pt idx="149">
                  <c:v>-22.649625142037184</c:v>
                </c:pt>
                <c:pt idx="150">
                  <c:v>-23.439330081340746</c:v>
                </c:pt>
                <c:pt idx="151">
                  <c:v>-24.229950256177631</c:v>
                </c:pt>
                <c:pt idx="152">
                  <c:v>-25.021411117368647</c:v>
                </c:pt>
                <c:pt idx="153">
                  <c:v>-25.813644418261681</c:v>
                </c:pt>
                <c:pt idx="154">
                  <c:v>-26.6065877699738</c:v>
                </c:pt>
                <c:pt idx="155">
                  <c:v>-27.400184224855618</c:v>
                </c:pt>
                <c:pt idx="156">
                  <c:v>-28.194381887954894</c:v>
                </c:pt>
                <c:pt idx="157">
                  <c:v>-28.989133555996368</c:v>
                </c:pt>
                <c:pt idx="158">
                  <c:v>-29.784396383203351</c:v>
                </c:pt>
                <c:pt idx="159">
                  <c:v>-30.580131573145025</c:v>
                </c:pt>
                <c:pt idx="160">
                  <c:v>-31.376304095698458</c:v>
                </c:pt>
                <c:pt idx="161">
                  <c:v>-32.172882428156512</c:v>
                </c:pt>
                <c:pt idx="162">
                  <c:v>-32.969838319484651</c:v>
                </c:pt>
                <c:pt idx="163">
                  <c:v>-33.76714657672585</c:v>
                </c:pt>
                <c:pt idx="164">
                  <c:v>-34.564784872572233</c:v>
                </c:pt>
                <c:pt idx="165">
                  <c:v>-35.362733573148091</c:v>
                </c:pt>
                <c:pt idx="166">
                  <c:v>-36.160975585102797</c:v>
                </c:pt>
                <c:pt idx="167">
                  <c:v>-36.95949622114918</c:v>
                </c:pt>
                <c:pt idx="168">
                  <c:v>-37.75828308325751</c:v>
                </c:pt>
                <c:pt idx="169">
                  <c:v>-38.557325962763798</c:v>
                </c:pt>
                <c:pt idx="170">
                  <c:v>-39.356616756721323</c:v>
                </c:pt>
                <c:pt idx="171">
                  <c:v>-40.156149399883603</c:v>
                </c:pt>
                <c:pt idx="172">
                  <c:v>-40.955919811770741</c:v>
                </c:pt>
                <c:pt idx="173">
                  <c:v>-41.755925858323508</c:v>
                </c:pt>
                <c:pt idx="174">
                  <c:v>-42.55616732770762</c:v>
                </c:pt>
                <c:pt idx="175">
                  <c:v>-43.356645919869067</c:v>
                </c:pt>
                <c:pt idx="176">
                  <c:v>-44.157365249482659</c:v>
                </c:pt>
                <c:pt idx="177">
                  <c:v>-44.958330861958657</c:v>
                </c:pt>
                <c:pt idx="178">
                  <c:v>-45.759550262186565</c:v>
                </c:pt>
                <c:pt idx="179">
                  <c:v>-46.561032955692653</c:v>
                </c:pt>
                <c:pt idx="180">
                  <c:v>-47.362790501866883</c:v>
                </c:pt>
                <c:pt idx="181">
                  <c:v>-48.164836578873881</c:v>
                </c:pt>
                <c:pt idx="182">
                  <c:v>-48.967187059795648</c:v>
                </c:pt>
                <c:pt idx="183">
                  <c:v>-49.769860099459471</c:v>
                </c:pt>
                <c:pt idx="184">
                  <c:v>-50.572876231272872</c:v>
                </c:pt>
                <c:pt idx="185">
                  <c:v>-51.376258473222407</c:v>
                </c:pt>
                <c:pt idx="186">
                  <c:v>-52.180032441978021</c:v>
                </c:pt>
                <c:pt idx="187">
                  <c:v>-52.984226473783671</c:v>
                </c:pt>
                <c:pt idx="188">
                  <c:v>-53.788871750491296</c:v>
                </c:pt>
                <c:pt idx="189">
                  <c:v>-54.594002428715129</c:v>
                </c:pt>
                <c:pt idx="190">
                  <c:v>-55.399655769623578</c:v>
                </c:pt>
                <c:pt idx="191">
                  <c:v>-56.205872266356678</c:v>
                </c:pt>
                <c:pt idx="192">
                  <c:v>-57.012695765444128</c:v>
                </c:pt>
                <c:pt idx="193">
                  <c:v>-57.820173577894892</c:v>
                </c:pt>
                <c:pt idx="194">
                  <c:v>-58.628356574848198</c:v>
                </c:pt>
                <c:pt idx="195">
                  <c:v>-59.437299261799041</c:v>
                </c:pt>
                <c:pt idx="196">
                  <c:v>-60.247059824466746</c:v>
                </c:pt>
                <c:pt idx="197">
                  <c:v>-61.057700138357788</c:v>
                </c:pt>
                <c:pt idx="198">
                  <c:v>-61.869285733024178</c:v>
                </c:pt>
                <c:pt idx="199">
                  <c:v>-62.681885700947703</c:v>
                </c:pt>
                <c:pt idx="200">
                  <c:v>-63.495572539954296</c:v>
                </c:pt>
              </c:numCache>
            </c:numRef>
          </c:yVal>
          <c:smooth val="1"/>
        </c:ser>
        <c:ser>
          <c:idx val="0"/>
          <c:order val="1"/>
          <c:tx>
            <c:v>Ti(s) Gain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Compensation!$Y$64:$Y$264</c:f>
              <c:numCache>
                <c:formatCode>General</c:formatCode>
                <c:ptCount val="201"/>
                <c:pt idx="0">
                  <c:v>-11.915966552744056</c:v>
                </c:pt>
                <c:pt idx="1">
                  <c:v>-11.906082256713034</c:v>
                </c:pt>
                <c:pt idx="2">
                  <c:v>-11.89526913306687</c:v>
                </c:pt>
                <c:pt idx="3">
                  <c:v>-11.883442439047808</c:v>
                </c:pt>
                <c:pt idx="4">
                  <c:v>-11.870510196008254</c:v>
                </c:pt>
                <c:pt idx="5">
                  <c:v>-11.856372667777633</c:v>
                </c:pt>
                <c:pt idx="6">
                  <c:v>-11.84092182032429</c:v>
                </c:pt>
                <c:pt idx="7">
                  <c:v>-11.824040766118866</c:v>
                </c:pt>
                <c:pt idx="8">
                  <c:v>-11.805603197660368</c:v>
                </c:pt>
                <c:pt idx="9">
                  <c:v>-11.785472815838403</c:v>
                </c:pt>
                <c:pt idx="10">
                  <c:v>-11.763502760186586</c:v>
                </c:pt>
                <c:pt idx="11">
                  <c:v>-11.739535049638363</c:v>
                </c:pt>
                <c:pt idx="12">
                  <c:v>-11.713400044110925</c:v>
                </c:pt>
                <c:pt idx="13">
                  <c:v>-11.68491593911687</c:v>
                </c:pt>
                <c:pt idx="14">
                  <c:v>-11.65388830760052</c:v>
                </c:pt>
                <c:pt idx="15">
                  <c:v>-11.620109705274809</c:v>
                </c:pt>
                <c:pt idx="16">
                  <c:v>-11.583359357847263</c:v>
                </c:pt>
                <c:pt idx="17">
                  <c:v>-11.543402950573391</c:v>
                </c:pt>
                <c:pt idx="18">
                  <c:v>-11.499992542476352</c:v>
                </c:pt>
                <c:pt idx="19">
                  <c:v>-11.452866629177336</c:v>
                </c:pt>
                <c:pt idx="20">
                  <c:v>-11.40175037944941</c:v>
                </c:pt>
                <c:pt idx="21">
                  <c:v>-11.346356071147829</c:v>
                </c:pt>
                <c:pt idx="22">
                  <c:v>-11.286383751891215</c:v>
                </c:pt>
                <c:pt idx="23">
                  <c:v>-11.221522148547047</c:v>
                </c:pt>
                <c:pt idx="24">
                  <c:v>-11.151449847006326</c:v>
                </c:pt>
                <c:pt idx="25">
                  <c:v>-11.075836759711525</c:v>
                </c:pt>
                <c:pt idx="26">
                  <c:v>-10.994345892766388</c:v>
                </c:pt>
                <c:pt idx="27">
                  <c:v>-10.906635417107207</c:v>
                </c:pt>
                <c:pt idx="28">
                  <c:v>-10.812361039126792</c:v>
                </c:pt>
                <c:pt idx="29">
                  <c:v>-10.711178655426085</c:v>
                </c:pt>
                <c:pt idx="30">
                  <c:v>-10.602747264246686</c:v>
                </c:pt>
                <c:pt idx="31">
                  <c:v>-10.486732093010133</c:v>
                </c:pt>
                <c:pt idx="32">
                  <c:v>-10.362807887802381</c:v>
                </c:pt>
                <c:pt idx="33">
                  <c:v>-10.230662297297396</c:v>
                </c:pt>
                <c:pt idx="34">
                  <c:v>-10.089999271325906</c:v>
                </c:pt>
                <c:pt idx="35">
                  <c:v>-9.940542383963896</c:v>
                </c:pt>
                <c:pt idx="36">
                  <c:v>-9.7820379835208353</c:v>
                </c:pt>
                <c:pt idx="37">
                  <c:v>-9.6142580679664533</c:v>
                </c:pt>
                <c:pt idx="38">
                  <c:v>-9.4370027847824041</c:v>
                </c:pt>
                <c:pt idx="39">
                  <c:v>-9.250102459342628</c:v>
                </c:pt>
                <c:pt idx="40">
                  <c:v>-9.0534190657691944</c:v>
                </c:pt>
                <c:pt idx="41">
                  <c:v>-8.8468470684676213</c:v>
                </c:pt>
                <c:pt idx="42">
                  <c:v>-8.6303135805340361</c:v>
                </c:pt>
                <c:pt idx="43">
                  <c:v>-8.4037778059330464</c:v>
                </c:pt>
                <c:pt idx="44">
                  <c:v>-8.1672297544914123</c:v>
                </c:pt>
                <c:pt idx="45">
                  <c:v>-7.9206882409240436</c:v>
                </c:pt>
                <c:pt idx="46">
                  <c:v>-7.6641981998506505</c:v>
                </c:pt>
                <c:pt idx="47">
                  <c:v>-7.3978273667428063</c:v>
                </c:pt>
                <c:pt idx="48">
                  <c:v>-7.1216623888372403</c:v>
                </c:pt>
                <c:pt idx="49">
                  <c:v>-6.8358044394382942</c:v>
                </c:pt>
                <c:pt idx="50">
                  <c:v>-6.540364413252842</c:v>
                </c:pt>
                <c:pt idx="51">
                  <c:v>-6.2354577793194963</c:v>
                </c:pt>
                <c:pt idx="52">
                  <c:v>-5.9211991619179107</c:v>
                </c:pt>
                <c:pt idx="53">
                  <c:v>-5.5976967090061214</c:v>
                </c:pt>
                <c:pt idx="54">
                  <c:v>-5.2650462928287842</c:v>
                </c:pt>
                <c:pt idx="55">
                  <c:v>-4.9233255690153879</c:v>
                </c:pt>
                <c:pt idx="56">
                  <c:v>-4.5725878993408795</c:v>
                </c:pt>
                <c:pt idx="57">
                  <c:v>-4.2128561198101142</c:v>
                </c:pt>
                <c:pt idx="58">
                  <c:v>-3.8441161100808063</c:v>
                </c:pt>
                <c:pt idx="59">
                  <c:v>-3.4663100923898242</c:v>
                </c:pt>
                <c:pt idx="60">
                  <c:v>-3.0793295576602517</c:v>
                </c:pt>
                <c:pt idx="61">
                  <c:v>-2.6830076824600253</c:v>
                </c:pt>
                <c:pt idx="62">
                  <c:v>-2.2771110615605967</c:v>
                </c:pt>
                <c:pt idx="63">
                  <c:v>-1.8613305349334963</c:v>
                </c:pt>
                <c:pt idx="64">
                  <c:v>-1.4352708322352448</c:v>
                </c:pt>
                <c:pt idx="65">
                  <c:v>-0.99843868814568504</c:v>
                </c:pt>
                <c:pt idx="66">
                  <c:v>-0.5502289927917845</c:v>
                </c:pt>
                <c:pt idx="67">
                  <c:v>-8.9908425197197689E-2</c:v>
                </c:pt>
                <c:pt idx="68">
                  <c:v>0.38340413662202977</c:v>
                </c:pt>
                <c:pt idx="69">
                  <c:v>0.87076134311053521</c:v>
                </c:pt>
                <c:pt idx="70">
                  <c:v>1.3734164360978971</c:v>
                </c:pt>
                <c:pt idx="71">
                  <c:v>1.8928592376874387</c:v>
                </c:pt>
                <c:pt idx="72">
                  <c:v>2.4308612062874069</c:v>
                </c:pt>
                <c:pt idx="73">
                  <c:v>2.9895324846772291</c:v>
                </c:pt>
                <c:pt idx="74">
                  <c:v>3.5713949978981319</c:v>
                </c:pt>
                <c:pt idx="75">
                  <c:v>4.1794773243687482</c:v>
                </c:pt>
                <c:pt idx="76">
                  <c:v>4.8174395583532794</c:v>
                </c:pt>
                <c:pt idx="77">
                  <c:v>5.4897401952882028</c:v>
                </c:pt>
                <c:pt idx="78">
                  <c:v>6.201863032642482</c:v>
                </c:pt>
                <c:pt idx="79">
                  <c:v>6.9606316300641531</c:v>
                </c:pt>
                <c:pt idx="80">
                  <c:v>7.7746545954731943</c:v>
                </c:pt>
                <c:pt idx="81">
                  <c:v>8.6549716238375947</c:v>
                </c:pt>
                <c:pt idx="82">
                  <c:v>9.6160168865599278</c:v>
                </c:pt>
                <c:pt idx="83">
                  <c:v>10.677100842261421</c:v>
                </c:pt>
                <c:pt idx="84">
                  <c:v>11.864769406669456</c:v>
                </c:pt>
                <c:pt idx="85">
                  <c:v>13.216701165204084</c:v>
                </c:pt>
                <c:pt idx="86">
                  <c:v>14.788371880609368</c:v>
                </c:pt>
                <c:pt idx="87">
                  <c:v>16.664610255695766</c:v>
                </c:pt>
                <c:pt idx="88">
                  <c:v>18.977812005007213</c:v>
                </c:pt>
                <c:pt idx="89">
                  <c:v>21.913389972995915</c:v>
                </c:pt>
                <c:pt idx="90">
                  <c:v>25.434529173544203</c:v>
                </c:pt>
                <c:pt idx="91">
                  <c:v>27.19925862784169</c:v>
                </c:pt>
                <c:pt idx="92">
                  <c:v>24.473760709045365</c:v>
                </c:pt>
                <c:pt idx="93">
                  <c:v>21.038664605202676</c:v>
                </c:pt>
                <c:pt idx="94">
                  <c:v>18.280700000194599</c:v>
                </c:pt>
                <c:pt idx="95">
                  <c:v>16.093269893720855</c:v>
                </c:pt>
                <c:pt idx="96">
                  <c:v>14.301203018111794</c:v>
                </c:pt>
                <c:pt idx="97">
                  <c:v>12.786818832738131</c:v>
                </c:pt>
                <c:pt idx="98">
                  <c:v>11.474609023873976</c:v>
                </c:pt>
                <c:pt idx="99">
                  <c:v>10.314683448041102</c:v>
                </c:pt>
                <c:pt idx="100">
                  <c:v>9.272783851936456</c:v>
                </c:pt>
                <c:pt idx="101">
                  <c:v>8.3245284856408457</c:v>
                </c:pt>
                <c:pt idx="102">
                  <c:v>7.4520177179715859</c:v>
                </c:pt>
                <c:pt idx="103">
                  <c:v>6.6417584237175191</c:v>
                </c:pt>
                <c:pt idx="104">
                  <c:v>5.8833475387963006</c:v>
                </c:pt>
                <c:pt idx="105">
                  <c:v>5.168608540128389</c:v>
                </c:pt>
                <c:pt idx="106">
                  <c:v>4.491007715899709</c:v>
                </c:pt>
                <c:pt idx="107">
                  <c:v>3.8452489009388033</c:v>
                </c:pt>
                <c:pt idx="108">
                  <c:v>3.2269853849139398</c:v>
                </c:pt>
                <c:pt idx="109">
                  <c:v>2.632610770955051</c:v>
                </c:pt>
                <c:pt idx="110">
                  <c:v>2.0591042803034814</c:v>
                </c:pt>
                <c:pt idx="111">
                  <c:v>1.5039143953203364</c:v>
                </c:pt>
                <c:pt idx="112">
                  <c:v>0.96487001062056832</c:v>
                </c:pt>
                <c:pt idx="113">
                  <c:v>0.44011165999614588</c:v>
                </c:pt>
                <c:pt idx="114">
                  <c:v>-7.1962376885843754E-2</c:v>
                </c:pt>
                <c:pt idx="115">
                  <c:v>-0.57273878238543008</c:v>
                </c:pt>
                <c:pt idx="116">
                  <c:v>-1.0634233908229427</c:v>
                </c:pt>
                <c:pt idx="117">
                  <c:v>-1.5450688136463615</c:v>
                </c:pt>
                <c:pt idx="118">
                  <c:v>-2.0185969485780095</c:v>
                </c:pt>
                <c:pt idx="119">
                  <c:v>-2.4848174600421071</c:v>
                </c:pt>
                <c:pt idx="120">
                  <c:v>-2.9444430557649826</c:v>
                </c:pt>
                <c:pt idx="121">
                  <c:v>-3.3981021915434741</c:v>
                </c:pt>
                <c:pt idx="122">
                  <c:v>-3.846349692733301</c:v>
                </c:pt>
                <c:pt idx="123">
                  <c:v>-4.2896756731496026</c:v>
                </c:pt>
                <c:pt idx="124">
                  <c:v>-4.7285130501161756</c:v>
                </c:pt>
                <c:pt idx="125">
                  <c:v>-5.163243891468924</c:v>
                </c:pt>
                <c:pt idx="126">
                  <c:v>-5.5942047815135432</c:v>
                </c:pt>
                <c:pt idx="127">
                  <c:v>-6.0216913546694091</c:v>
                </c:pt>
                <c:pt idx="128">
                  <c:v>-6.4459621152147957</c:v>
                </c:pt>
                <c:pt idx="129">
                  <c:v>-6.8672416372242031</c:v>
                </c:pt>
                <c:pt idx="130">
                  <c:v>-7.2857232190333701</c:v>
                </c:pt>
                <c:pt idx="131">
                  <c:v>-7.7015710502712622</c:v>
                </c:pt>
                <c:pt idx="132">
                  <c:v>-8.1149219358376943</c:v>
                </c:pt>
                <c:pt idx="133">
                  <c:v>-8.5258866095400663</c:v>
                </c:pt>
                <c:pt idx="134">
                  <c:v>-8.9345506599330555</c:v>
                </c:pt>
                <c:pt idx="135">
                  <c:v>-9.3409750818553547</c:v>
                </c:pt>
                <c:pt idx="136">
                  <c:v>-9.7451964589375901</c:v>
                </c:pt>
                <c:pt idx="137">
                  <c:v>-10.14722677474548</c:v>
                </c:pt>
                <c:pt idx="138">
                  <c:v>-10.54705284309269</c:v>
                </c:pt>
                <c:pt idx="139">
                  <c:v>-10.94463534133213</c:v>
                </c:pt>
                <c:pt idx="140">
                  <c:v>-11.339907424125055</c:v>
                </c:pt>
                <c:pt idx="141">
                  <c:v>-11.732772889404535</c:v>
                </c:pt>
                <c:pt idx="142">
                  <c:v>-12.123103863215061</c:v>
                </c:pt>
                <c:pt idx="143">
                  <c:v>-12.510737966195522</c:v>
                </c:pt>
                <c:pt idx="144">
                  <c:v>-12.895474922238384</c:v>
                </c:pt>
                <c:pt idx="145">
                  <c:v>-13.277072570113964</c:v>
                </c:pt>
                <c:pt idx="146">
                  <c:v>-13.655242242676227</c:v>
                </c:pt>
                <c:pt idx="147">
                  <c:v>-14.029643487154207</c:v>
                </c:pt>
                <c:pt idx="148">
                  <c:v>-14.39987811582877</c:v>
                </c:pt>
                <c:pt idx="149">
                  <c:v>-14.765483601473443</c:v>
                </c:pt>
                <c:pt idx="150">
                  <c:v>-15.125925869090356</c:v>
                </c:pt>
                <c:pt idx="151">
                  <c:v>-15.480591587897264</c:v>
                </c:pt>
                <c:pt idx="152">
                  <c:v>-15.82878013859089</c:v>
                </c:pt>
                <c:pt idx="153">
                  <c:v>-16.169695523749215</c:v>
                </c:pt>
                <c:pt idx="154">
                  <c:v>-16.502438606024207</c:v>
                </c:pt>
                <c:pt idx="155">
                  <c:v>-16.826000199658054</c:v>
                </c:pt>
                <c:pt idx="156">
                  <c:v>-17.139255702412953</c:v>
                </c:pt>
                <c:pt idx="157">
                  <c:v>-17.440962128277349</c:v>
                </c:pt>
                <c:pt idx="158">
                  <c:v>-17.729758569632949</c:v>
                </c:pt>
                <c:pt idx="159">
                  <c:v>-18.004171254513889</c:v>
                </c:pt>
                <c:pt idx="160">
                  <c:v>-18.262624433008192</c:v>
                </c:pt>
                <c:pt idx="161">
                  <c:v>-18.503458280072731</c:v>
                </c:pt>
                <c:pt idx="162">
                  <c:v>-18.724954788737126</c:v>
                </c:pt>
                <c:pt idx="163">
                  <c:v>-18.925372201760634</c:v>
                </c:pt>
                <c:pt idx="164">
                  <c:v>-19.102987865442827</c:v>
                </c:pt>
                <c:pt idx="165">
                  <c:v>-19.256148499469091</c:v>
                </c:pt>
                <c:pt idx="166">
                  <c:v>-19.383325830476064</c:v>
                </c:pt>
                <c:pt idx="167">
                  <c:v>-19.483174468089143</c:v>
                </c:pt>
                <c:pt idx="168">
                  <c:v>-19.554587999758628</c:v>
                </c:pt>
                <c:pt idx="169">
                  <c:v>-19.596748757703963</c:v>
                </c:pt>
                <c:pt idx="170">
                  <c:v>-19.60916675162208</c:v>
                </c:pt>
                <c:pt idx="171">
                  <c:v>-19.591703959146713</c:v>
                </c:pt>
                <c:pt idx="172">
                  <c:v>-19.544581481288969</c:v>
                </c:pt>
                <c:pt idx="173">
                  <c:v>-19.4683688150206</c:v>
                </c:pt>
                <c:pt idx="174">
                  <c:v>-19.363956372696414</c:v>
                </c:pt>
                <c:pt idx="175">
                  <c:v>-19.232514056029686</c:v>
                </c:pt>
                <c:pt idx="176">
                  <c:v>-19.075439891246806</c:v>
                </c:pt>
                <c:pt idx="177">
                  <c:v>-18.894303293302919</c:v>
                </c:pt>
                <c:pt idx="178">
                  <c:v>-18.69078743984528</c:v>
                </c:pt>
                <c:pt idx="179">
                  <c:v>-18.466634617578251</c:v>
                </c:pt>
                <c:pt idx="180">
                  <c:v>-18.223597449700911</c:v>
                </c:pt>
                <c:pt idx="181">
                  <c:v>-17.96339783493163</c:v>
                </c:pt>
                <c:pt idx="182">
                  <c:v>-17.68769440591295</c:v>
                </c:pt>
                <c:pt idx="183">
                  <c:v>-17.398058467887655</c:v>
                </c:pt>
                <c:pt idx="184">
                  <c:v>-17.095957763876953</c:v>
                </c:pt>
                <c:pt idx="185">
                  <c:v>-16.782747033615035</c:v>
                </c:pt>
                <c:pt idx="186">
                  <c:v>-16.459664158742303</c:v>
                </c:pt>
                <c:pt idx="187">
                  <c:v>-16.127830667990018</c:v>
                </c:pt>
                <c:pt idx="188">
                  <c:v>-15.788255462317753</c:v>
                </c:pt>
                <c:pt idx="189">
                  <c:v>-15.441840766221191</c:v>
                </c:pt>
                <c:pt idx="190">
                  <c:v>-15.089389482769612</c:v>
                </c:pt>
                <c:pt idx="191">
                  <c:v>-14.731613302080733</c:v>
                </c:pt>
                <c:pt idx="192">
                  <c:v>-14.369141070995067</c:v>
                </c:pt>
                <c:pt idx="193">
                  <c:v>-14.002527068040409</c:v>
                </c:pt>
                <c:pt idx="194">
                  <c:v>-13.632258939843055</c:v>
                </c:pt>
                <c:pt idx="195">
                  <c:v>-13.25876514363082</c:v>
                </c:pt>
                <c:pt idx="196">
                  <c:v>-12.882421807833131</c:v>
                </c:pt>
                <c:pt idx="197">
                  <c:v>-12.503558972259153</c:v>
                </c:pt>
                <c:pt idx="198">
                  <c:v>-12.122466204284418</c:v>
                </c:pt>
                <c:pt idx="199">
                  <c:v>-11.73939761104654</c:v>
                </c:pt>
                <c:pt idx="200">
                  <c:v>-11.354576282571234</c:v>
                </c:pt>
              </c:numCache>
            </c:numRef>
          </c:yVal>
          <c:smooth val="1"/>
        </c:ser>
        <c:ser>
          <c:idx val="4"/>
          <c:order val="2"/>
          <c:tx>
            <c:v>Tv(s) Gain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Compensation!$AC$64:$AC$264</c:f>
              <c:numCache>
                <c:formatCode>General</c:formatCode>
                <c:ptCount val="201"/>
                <c:pt idx="0">
                  <c:v>22.973890386011711</c:v>
                </c:pt>
                <c:pt idx="1">
                  <c:v>22.974083607135064</c:v>
                </c:pt>
                <c:pt idx="2">
                  <c:v>22.974295474763458</c:v>
                </c:pt>
                <c:pt idx="3">
                  <c:v>22.974527788865164</c:v>
                </c:pt>
                <c:pt idx="4">
                  <c:v>22.974782523266146</c:v>
                </c:pt>
                <c:pt idx="5">
                  <c:v>22.975061842463727</c:v>
                </c:pt>
                <c:pt idx="6">
                  <c:v>22.975368120070655</c:v>
                </c:pt>
                <c:pt idx="7">
                  <c:v>22.975703959049074</c:v>
                </c:pt>
                <c:pt idx="8">
                  <c:v>22.976072213907599</c:v>
                </c:pt>
                <c:pt idx="9">
                  <c:v>22.976476015055237</c:v>
                </c:pt>
                <c:pt idx="10">
                  <c:v>22.976918795520639</c:v>
                </c:pt>
                <c:pt idx="11">
                  <c:v>22.977404320271219</c:v>
                </c:pt>
                <c:pt idx="12">
                  <c:v>22.977936718384825</c:v>
                </c:pt>
                <c:pt idx="13">
                  <c:v>22.978520518355392</c:v>
                </c:pt>
                <c:pt idx="14">
                  <c:v>22.979160686840526</c:v>
                </c:pt>
                <c:pt idx="15">
                  <c:v>22.979862671190606</c:v>
                </c:pt>
                <c:pt idx="16">
                  <c:v>22.980632446133423</c:v>
                </c:pt>
                <c:pt idx="17">
                  <c:v>22.981476565023861</c:v>
                </c:pt>
                <c:pt idx="18">
                  <c:v>22.982402216114977</c:v>
                </c:pt>
                <c:pt idx="19">
                  <c:v>22.983417284347215</c:v>
                </c:pt>
                <c:pt idx="20">
                  <c:v>22.984530419208266</c:v>
                </c:pt>
                <c:pt idx="21">
                  <c:v>22.985751109270151</c:v>
                </c:pt>
                <c:pt idx="22">
                  <c:v>22.98708976407681</c:v>
                </c:pt>
                <c:pt idx="23">
                  <c:v>22.988557804119218</c:v>
                </c:pt>
                <c:pt idx="24">
                  <c:v>22.990167759721984</c:v>
                </c:pt>
                <c:pt idx="25">
                  <c:v>22.991933379744371</c:v>
                </c:pt>
                <c:pt idx="26">
                  <c:v>22.993869751099247</c:v>
                </c:pt>
                <c:pt idx="27">
                  <c:v>22.995993430202994</c:v>
                </c:pt>
                <c:pt idx="28">
                  <c:v>22.99832258758769</c:v>
                </c:pt>
                <c:pt idx="29">
                  <c:v>23.000877167044528</c:v>
                </c:pt>
                <c:pt idx="30">
                  <c:v>23.003679060818335</c:v>
                </c:pt>
                <c:pt idx="31">
                  <c:v>23.006752302547042</c:v>
                </c:pt>
                <c:pt idx="32">
                  <c:v>23.010123279829511</c:v>
                </c:pt>
                <c:pt idx="33">
                  <c:v>23.013820968524776</c:v>
                </c:pt>
                <c:pt idx="34">
                  <c:v>23.017877191133081</c:v>
                </c:pt>
                <c:pt idx="35">
                  <c:v>23.022326901886096</c:v>
                </c:pt>
                <c:pt idx="36">
                  <c:v>23.027208501493689</c:v>
                </c:pt>
                <c:pt idx="37">
                  <c:v>23.032564184855154</c:v>
                </c:pt>
                <c:pt idx="38">
                  <c:v>23.038440325455767</c:v>
                </c:pt>
                <c:pt idx="39">
                  <c:v>23.04488790064536</c:v>
                </c:pt>
                <c:pt idx="40">
                  <c:v>23.051962962538774</c:v>
                </c:pt>
                <c:pt idx="41">
                  <c:v>23.059727159902344</c:v>
                </c:pt>
                <c:pt idx="42">
                  <c:v>23.068248317123349</c:v>
                </c:pt>
                <c:pt idx="43">
                  <c:v>23.077601077190629</c:v>
                </c:pt>
                <c:pt idx="44">
                  <c:v>23.087867616601642</c:v>
                </c:pt>
                <c:pt idx="45">
                  <c:v>23.099138441248979</c:v>
                </c:pt>
                <c:pt idx="46">
                  <c:v>23.111513273681652</c:v>
                </c:pt>
                <c:pt idx="47">
                  <c:v>23.125102043709941</c:v>
                </c:pt>
                <c:pt idx="48">
                  <c:v>23.140025996185642</c:v>
                </c:pt>
                <c:pt idx="49">
                  <c:v>23.156418931992956</c:v>
                </c:pt>
                <c:pt idx="50">
                  <c:v>23.174428600914624</c:v>
                </c:pt>
                <c:pt idx="51">
                  <c:v>23.194218268173422</c:v>
                </c:pt>
                <c:pt idx="52">
                  <c:v>23.215968480222443</c:v>
                </c:pt>
                <c:pt idx="53">
                  <c:v>23.239879059903949</c:v>
                </c:pt>
                <c:pt idx="54">
                  <c:v>23.26617136660715</c:v>
                </c:pt>
                <c:pt idx="55">
                  <c:v>23.295090863767903</c:v>
                </c:pt>
                <c:pt idx="56">
                  <c:v>23.32691004427295</c:v>
                </c:pt>
                <c:pt idx="57">
                  <c:v>23.361931774440137</c:v>
                </c:pt>
                <c:pt idx="58">
                  <c:v>23.400493129766794</c:v>
                </c:pt>
                <c:pt idx="59">
                  <c:v>23.442969811217729</c:v>
                </c:pt>
                <c:pt idx="60">
                  <c:v>23.489781250341309</c:v>
                </c:pt>
                <c:pt idx="61">
                  <c:v>23.541396536108845</c:v>
                </c:pt>
                <c:pt idx="62">
                  <c:v>23.5983413276048</c:v>
                </c:pt>
                <c:pt idx="63">
                  <c:v>23.661205956629278</c:v>
                </c:pt>
                <c:pt idx="64">
                  <c:v>23.730654975728847</c:v>
                </c:pt>
                <c:pt idx="65">
                  <c:v>23.807438474008915</c:v>
                </c:pt>
                <c:pt idx="66">
                  <c:v>23.892405570657797</c:v>
                </c:pt>
                <c:pt idx="67">
                  <c:v>23.986520611948187</c:v>
                </c:pt>
                <c:pt idx="68">
                  <c:v>24.090882752199274</c:v>
                </c:pt>
                <c:pt idx="69">
                  <c:v>24.206749808080332</c:v>
                </c:pt>
                <c:pt idx="70">
                  <c:v>24.335567560914512</c:v>
                </c:pt>
                <c:pt idx="71">
                  <c:v>24.479006076095434</c:v>
                </c:pt>
                <c:pt idx="72">
                  <c:v>24.639005161471239</c:v>
                </c:pt>
                <c:pt idx="73">
                  <c:v>24.817831872407424</c:v>
                </c:pt>
                <c:pt idx="74">
                  <c:v>25.018154106256709</c:v>
                </c:pt>
                <c:pt idx="75">
                  <c:v>25.24313599663315</c:v>
                </c:pt>
                <c:pt idx="76">
                  <c:v>25.496563314539621</c:v>
                </c:pt>
                <c:pt idx="77">
                  <c:v>25.783010898565006</c:v>
                </c:pt>
                <c:pt idx="78">
                  <c:v>26.108070099146179</c:v>
                </c:pt>
                <c:pt idx="79">
                  <c:v>26.47866377441844</c:v>
                </c:pt>
                <c:pt idx="80">
                  <c:v>26.90349209935259</c:v>
                </c:pt>
                <c:pt idx="81">
                  <c:v>27.393679111064365</c:v>
                </c:pt>
                <c:pt idx="82">
                  <c:v>27.963736585323193</c:v>
                </c:pt>
                <c:pt idx="83">
                  <c:v>28.633046312953784</c:v>
                </c:pt>
                <c:pt idx="84">
                  <c:v>29.428219712425854</c:v>
                </c:pt>
                <c:pt idx="85">
                  <c:v>30.386995461374976</c:v>
                </c:pt>
                <c:pt idx="86">
                  <c:v>31.564904399009368</c:v>
                </c:pt>
                <c:pt idx="87">
                  <c:v>33.046825659450256</c:v>
                </c:pt>
                <c:pt idx="88">
                  <c:v>34.965201090090567</c:v>
                </c:pt>
                <c:pt idx="89">
                  <c:v>37.505485693054304</c:v>
                </c:pt>
                <c:pt idx="90">
                  <c:v>40.630902965267701</c:v>
                </c:pt>
                <c:pt idx="91">
                  <c:v>41.999517014939968</c:v>
                </c:pt>
                <c:pt idx="92">
                  <c:v>38.877542163760872</c:v>
                </c:pt>
                <c:pt idx="93">
                  <c:v>35.045636647219624</c:v>
                </c:pt>
                <c:pt idx="94">
                  <c:v>31.890556513754277</c:v>
                </c:pt>
                <c:pt idx="95">
                  <c:v>29.305728644705429</c:v>
                </c:pt>
                <c:pt idx="96">
                  <c:v>27.116003353796273</c:v>
                </c:pt>
                <c:pt idx="97">
                  <c:v>25.203719547815361</c:v>
                </c:pt>
                <c:pt idx="98">
                  <c:v>23.493386377223715</c:v>
                </c:pt>
                <c:pt idx="99">
                  <c:v>21.935129315526005</c:v>
                </c:pt>
                <c:pt idx="100">
                  <c:v>20.49470400126657</c:v>
                </c:pt>
                <c:pt idx="101">
                  <c:v>19.14774096003698</c:v>
                </c:pt>
                <c:pt idx="102">
                  <c:v>17.876351315983769</c:v>
                </c:pt>
                <c:pt idx="103">
                  <c:v>16.667051263103435</c:v>
                </c:pt>
                <c:pt idx="104">
                  <c:v>15.509445692838158</c:v>
                </c:pt>
                <c:pt idx="105">
                  <c:v>14.395364735159665</c:v>
                </c:pt>
                <c:pt idx="106">
                  <c:v>13.318280079123095</c:v>
                </c:pt>
                <c:pt idx="107">
                  <c:v>12.272899747834433</c:v>
                </c:pt>
                <c:pt idx="108">
                  <c:v>11.254880035666403</c:v>
                </c:pt>
                <c:pt idx="109">
                  <c:v>10.260616385352835</c:v>
                </c:pt>
                <c:pt idx="110">
                  <c:v>9.2870887004881553</c:v>
                </c:pt>
                <c:pt idx="111">
                  <c:v>8.3317449855684895</c:v>
                </c:pt>
                <c:pt idx="112">
                  <c:v>7.3924124830244731</c:v>
                </c:pt>
                <c:pt idx="113">
                  <c:v>6.4672288744549222</c:v>
                </c:pt>
                <c:pt idx="114">
                  <c:v>5.5545883494413149</c:v>
                </c:pt>
                <c:pt idx="115">
                  <c:v>4.6530988467946663</c:v>
                </c:pt>
                <c:pt idx="116">
                  <c:v>3.7615477998363192</c:v>
                </c:pt>
                <c:pt idx="117">
                  <c:v>2.8788744313332932</c:v>
                </c:pt>
                <c:pt idx="118">
                  <c:v>2.0041471479161803</c:v>
                </c:pt>
                <c:pt idx="119">
                  <c:v>1.1365449449741631</c:v>
                </c:pt>
                <c:pt idx="120">
                  <c:v>0.2753419951077517</c:v>
                </c:pt>
                <c:pt idx="121">
                  <c:v>-0.58010521425300232</c:v>
                </c:pt>
                <c:pt idx="122">
                  <c:v>-1.4303686854445228</c:v>
                </c:pt>
                <c:pt idx="123">
                  <c:v>-2.2759580413949068</c:v>
                </c:pt>
                <c:pt idx="124">
                  <c:v>-3.1173282853164856</c:v>
                </c:pt>
                <c:pt idx="125">
                  <c:v>-3.9548864296384609</c:v>
                </c:pt>
                <c:pt idx="126">
                  <c:v>-4.7889971865268661</c:v>
                </c:pt>
                <c:pt idx="127">
                  <c:v>-5.6199878749696675</c:v>
                </c:pt>
                <c:pt idx="128">
                  <c:v>-6.4481526701367109</c:v>
                </c:pt>
                <c:pt idx="129">
                  <c:v>-7.2737562976038364</c:v>
                </c:pt>
                <c:pt idx="130">
                  <c:v>-8.0970372566799433</c:v>
                </c:pt>
                <c:pt idx="131">
                  <c:v>-8.9182106423805578</c:v>
                </c:pt>
                <c:pt idx="132">
                  <c:v>-9.737470623781876</c:v>
                </c:pt>
                <c:pt idx="133">
                  <c:v>-10.554992626927005</c:v>
                </c:pt>
                <c:pt idx="134">
                  <c:v>-11.370935262671193</c:v>
                </c:pt>
                <c:pt idx="135">
                  <c:v>-12.185442033492574</c:v>
                </c:pt>
                <c:pt idx="136">
                  <c:v>-12.998642848057473</c:v>
                </c:pt>
                <c:pt idx="137">
                  <c:v>-13.810655368006397</c:v>
                </c:pt>
                <c:pt idx="138">
                  <c:v>-14.621586207835067</c:v>
                </c:pt>
                <c:pt idx="139">
                  <c:v>-15.43153200575312</c:v>
                </c:pt>
                <c:pt idx="140">
                  <c:v>-16.240580380892577</c:v>
                </c:pt>
                <c:pt idx="141">
                  <c:v>-17.048810790130066</c:v>
                </c:pt>
                <c:pt idx="142">
                  <c:v>-17.856295296002482</c:v>
                </c:pt>
                <c:pt idx="143">
                  <c:v>-18.663099255686816</c:v>
                </c:pt>
                <c:pt idx="144">
                  <c:v>-19.46928193972478</c:v>
                </c:pt>
                <c:pt idx="145">
                  <c:v>-20.274897088073139</c:v>
                </c:pt>
                <c:pt idx="146">
                  <c:v>-21.079993410116522</c:v>
                </c:pt>
                <c:pt idx="147">
                  <c:v>-21.884615034466719</c:v>
                </c:pt>
                <c:pt idx="148">
                  <c:v>-22.688801913666282</c:v>
                </c:pt>
                <c:pt idx="149">
                  <c:v>-23.492590188307979</c:v>
                </c:pt>
                <c:pt idx="150">
                  <c:v>-24.29601251454659</c:v>
                </c:pt>
                <c:pt idx="151">
                  <c:v>-25.09909835851747</c:v>
                </c:pt>
                <c:pt idx="152">
                  <c:v>-25.901874260767691</c:v>
                </c:pt>
                <c:pt idx="153">
                  <c:v>-26.704364073447305</c:v>
                </c:pt>
                <c:pt idx="154">
                  <c:v>-27.506589172690532</c:v>
                </c:pt>
                <c:pt idx="155">
                  <c:v>-28.308568648336244</c:v>
                </c:pt>
                <c:pt idx="156">
                  <c:v>-29.110319472886875</c:v>
                </c:pt>
                <c:pt idx="157">
                  <c:v>-29.911856651379111</c:v>
                </c:pt>
                <c:pt idx="158">
                  <c:v>-30.713193353640953</c:v>
                </c:pt>
                <c:pt idx="159">
                  <c:v>-31.514341030225598</c:v>
                </c:pt>
                <c:pt idx="160">
                  <c:v>-32.315309513150254</c:v>
                </c:pt>
                <c:pt idx="161">
                  <c:v>-33.116107102416827</c:v>
                </c:pt>
                <c:pt idx="162">
                  <c:v>-33.916740639153893</c:v>
                </c:pt>
                <c:pt idx="163">
                  <c:v>-34.717215566092769</c:v>
                </c:pt>
                <c:pt idx="164">
                  <c:v>-35.517535975974809</c:v>
                </c:pt>
                <c:pt idx="165">
                  <c:v>-36.317704648372946</c:v>
                </c:pt>
                <c:pt idx="166">
                  <c:v>-37.117723075316768</c:v>
                </c:pt>
                <c:pt idx="167">
                  <c:v>-37.91759147599965</c:v>
                </c:pt>
                <c:pt idx="168">
                  <c:v>-38.71730880076931</c:v>
                </c:pt>
                <c:pt idx="169">
                  <c:v>-39.51687272450318</c:v>
                </c:pt>
                <c:pt idx="170">
                  <c:v>-40.316279629391062</c:v>
                </c:pt>
                <c:pt idx="171">
                  <c:v>-41.115524577062665</c:v>
                </c:pt>
                <c:pt idx="172">
                  <c:v>-41.914601269919956</c:v>
                </c:pt>
                <c:pt idx="173">
                  <c:v>-42.713502001452085</c:v>
                </c:pt>
                <c:pt idx="174">
                  <c:v>-43.51221759523996</c:v>
                </c:pt>
                <c:pt idx="175">
                  <c:v>-44.310737332276787</c:v>
                </c:pt>
                <c:pt idx="176">
                  <c:v>-45.10904886616202</c:v>
                </c:pt>
                <c:pt idx="177">
                  <c:v>-45.907138125651869</c:v>
                </c:pt>
                <c:pt idx="178">
                  <c:v>-46.704989203981498</c:v>
                </c:pt>
                <c:pt idx="179">
                  <c:v>-47.502584234306788</c:v>
                </c:pt>
                <c:pt idx="180">
                  <c:v>-48.299903250549534</c:v>
                </c:pt>
                <c:pt idx="181">
                  <c:v>-49.096924032871662</c:v>
                </c:pt>
                <c:pt idx="182">
                  <c:v>-49.893621936950218</c:v>
                </c:pt>
                <c:pt idx="183">
                  <c:v>-50.689969706180626</c:v>
                </c:pt>
                <c:pt idx="184">
                  <c:v>-51.485937265897306</c:v>
                </c:pt>
                <c:pt idx="185">
                  <c:v>-52.281491498680154</c:v>
                </c:pt>
                <c:pt idx="186">
                  <c:v>-53.07659599980493</c:v>
                </c:pt>
                <c:pt idx="187">
                  <c:v>-53.871210811910288</c:v>
                </c:pt>
                <c:pt idx="188">
                  <c:v>-54.665292137985347</c:v>
                </c:pt>
                <c:pt idx="189">
                  <c:v>-55.458792031852894</c:v>
                </c:pt>
                <c:pt idx="190">
                  <c:v>-56.251658065418638</c:v>
                </c:pt>
                <c:pt idx="191">
                  <c:v>-57.04383297210515</c:v>
                </c:pt>
                <c:pt idx="192">
                  <c:v>-57.835254266083894</c:v>
                </c:pt>
                <c:pt idx="193">
                  <c:v>-58.625853837173985</c:v>
                </c:pt>
                <c:pt idx="194">
                  <c:v>-59.415557521607639</c:v>
                </c:pt>
                <c:pt idx="195">
                  <c:v>-60.204284649270214</c:v>
                </c:pt>
                <c:pt idx="196">
                  <c:v>-60.991947568533583</c:v>
                </c:pt>
                <c:pt idx="197">
                  <c:v>-61.778451150414085</c:v>
                </c:pt>
                <c:pt idx="198">
                  <c:v>-62.563692274529679</c:v>
                </c:pt>
                <c:pt idx="199">
                  <c:v>-63.347559300201787</c:v>
                </c:pt>
                <c:pt idx="200">
                  <c:v>-64.129931527076977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619264"/>
        <c:axId val="234621184"/>
      </c:scatterChart>
      <c:valAx>
        <c:axId val="234619264"/>
        <c:scaling>
          <c:logBase val="10"/>
          <c:orientation val="minMax"/>
          <c:min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Frequency (Hz)</a:t>
                </a:r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4621184"/>
        <c:crosses val="autoZero"/>
        <c:crossBetween val="midCat"/>
      </c:valAx>
      <c:valAx>
        <c:axId val="234621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Gain (dB)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461926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55345228311108"/>
          <c:y val="2.5352180375043481E-2"/>
          <c:w val="0.20258154599361949"/>
          <c:h val="0.163380577427821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553078820347722E-2"/>
          <c:y val="7.02247191011236E-2"/>
          <c:w val="0.86765409410511352"/>
          <c:h val="0.86235955056179781"/>
        </c:manualLayout>
      </c:layout>
      <c:scatterChart>
        <c:scatterStyle val="smoothMarker"/>
        <c:varyColors val="0"/>
        <c:ser>
          <c:idx val="3"/>
          <c:order val="0"/>
          <c:tx>
            <c:v> T(s) w/o Comp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Compensation!$AG$64:$AG$264</c:f>
              <c:numCache>
                <c:formatCode>General</c:formatCode>
                <c:ptCount val="201"/>
                <c:pt idx="0">
                  <c:v>21.026362210268825</c:v>
                </c:pt>
                <c:pt idx="1">
                  <c:v>21.026070596243049</c:v>
                </c:pt>
                <c:pt idx="2">
                  <c:v>21.025750867794116</c:v>
                </c:pt>
                <c:pt idx="3">
                  <c:v>21.025400316529264</c:v>
                </c:pt>
                <c:pt idx="4">
                  <c:v>21.025015973570511</c:v>
                </c:pt>
                <c:pt idx="5">
                  <c:v>21.024594584587753</c:v>
                </c:pt>
                <c:pt idx="6">
                  <c:v>21.02413258245662</c:v>
                </c:pt>
                <c:pt idx="7">
                  <c:v>21.023626057318317</c:v>
                </c:pt>
                <c:pt idx="8">
                  <c:v>21.023070723798721</c:v>
                </c:pt>
                <c:pt idx="9">
                  <c:v>21.022461885122535</c:v>
                </c:pt>
                <c:pt idx="10">
                  <c:v>21.021794393833598</c:v>
                </c:pt>
                <c:pt idx="11">
                  <c:v>21.021062608809487</c:v>
                </c:pt>
                <c:pt idx="12">
                  <c:v>21.020260348227605</c:v>
                </c:pt>
                <c:pt idx="13">
                  <c:v>21.019380838114017</c:v>
                </c:pt>
                <c:pt idx="14">
                  <c:v>21.018416656070748</c:v>
                </c:pt>
                <c:pt idx="15">
                  <c:v>21.01735966974665</c:v>
                </c:pt>
                <c:pt idx="16">
                  <c:v>21.016200969579661</c:v>
                </c:pt>
                <c:pt idx="17">
                  <c:v>21.014930795295378</c:v>
                </c:pt>
                <c:pt idx="18">
                  <c:v>21.013538455614665</c:v>
                </c:pt>
                <c:pt idx="19">
                  <c:v>21.012012240569696</c:v>
                </c:pt>
                <c:pt idx="20">
                  <c:v>21.010339325787353</c:v>
                </c:pt>
                <c:pt idx="21">
                  <c:v>21.008505668051694</c:v>
                </c:pt>
                <c:pt idx="22">
                  <c:v>21.006495891403652</c:v>
                </c:pt>
                <c:pt idx="23">
                  <c:v>21.00429316298635</c:v>
                </c:pt>
                <c:pt idx="24">
                  <c:v>21.001879057793964</c:v>
                </c:pt>
                <c:pt idx="25">
                  <c:v>20.999233411424598</c:v>
                </c:pt>
                <c:pt idx="26">
                  <c:v>20.996334159887297</c:v>
                </c:pt>
                <c:pt idx="27">
                  <c:v>20.993157165462414</c:v>
                </c:pt>
                <c:pt idx="28">
                  <c:v>20.989676027562538</c:v>
                </c:pt>
                <c:pt idx="29">
                  <c:v>20.985861877497527</c:v>
                </c:pt>
                <c:pt idx="30">
                  <c:v>20.98168315600876</c:v>
                </c:pt>
                <c:pt idx="31">
                  <c:v>20.977105372404949</c:v>
                </c:pt>
                <c:pt idx="32">
                  <c:v>20.972090844113534</c:v>
                </c:pt>
                <c:pt idx="33">
                  <c:v>20.966598415456168</c:v>
                </c:pt>
                <c:pt idx="34">
                  <c:v>20.960583154470974</c:v>
                </c:pt>
                <c:pt idx="35">
                  <c:v>20.953996026640095</c:v>
                </c:pt>
                <c:pt idx="36">
                  <c:v>20.946783544450469</c:v>
                </c:pt>
                <c:pt idx="37">
                  <c:v>20.938887391815403</c:v>
                </c:pt>
                <c:pt idx="38">
                  <c:v>20.930244022530108</c:v>
                </c:pt>
                <c:pt idx="39">
                  <c:v>20.920784232135077</c:v>
                </c:pt>
                <c:pt idx="40">
                  <c:v>20.910432702819058</c:v>
                </c:pt>
                <c:pt idx="41">
                  <c:v>20.899107521321913</c:v>
                </c:pt>
                <c:pt idx="42">
                  <c:v>20.886719670222654</c:v>
                </c:pt>
                <c:pt idx="43">
                  <c:v>20.873172493502224</c:v>
                </c:pt>
                <c:pt idx="44">
                  <c:v>20.858361137902278</c:v>
                </c:pt>
                <c:pt idx="45">
                  <c:v>20.842171972346016</c:v>
                </c:pt>
                <c:pt idx="46">
                  <c:v>20.824481988575933</c:v>
                </c:pt>
                <c:pt idx="47">
                  <c:v>20.805158187199993</c:v>
                </c:pt>
                <c:pt idx="48">
                  <c:v>20.784056954536119</c:v>
                </c:pt>
                <c:pt idx="49">
                  <c:v>20.761023437011108</c:v>
                </c:pt>
                <c:pt idx="50">
                  <c:v>20.735890921410153</c:v>
                </c:pt>
                <c:pt idx="51">
                  <c:v>20.708480230972029</c:v>
                </c:pt>
                <c:pt idx="52">
                  <c:v>20.678599149183366</c:v>
                </c:pt>
                <c:pt idx="53">
                  <c:v>20.646041885109675</c:v>
                </c:pt>
                <c:pt idx="54">
                  <c:v>20.610588596164522</c:v>
                </c:pt>
                <c:pt idx="55">
                  <c:v>20.572004986315704</c:v>
                </c:pt>
                <c:pt idx="56">
                  <c:v>20.530041999772198</c:v>
                </c:pt>
                <c:pt idx="57">
                  <c:v>20.484435632078256</c:v>
                </c:pt>
                <c:pt idx="58">
                  <c:v>20.43490688214878</c:v>
                </c:pt>
                <c:pt idx="59">
                  <c:v>20.381161869941824</c:v>
                </c:pt>
                <c:pt idx="60">
                  <c:v>20.322892145011732</c:v>
                </c:pt>
                <c:pt idx="61">
                  <c:v>20.259775210921962</c:v>
                </c:pt>
                <c:pt idx="62">
                  <c:v>20.191475289201641</c:v>
                </c:pt>
                <c:pt idx="63">
                  <c:v>20.117644344006397</c:v>
                </c:pt>
                <c:pt idx="64">
                  <c:v>20.037923384689556</c:v>
                </c:pt>
                <c:pt idx="65">
                  <c:v>19.951944057955714</c:v>
                </c:pt>
                <c:pt idx="66">
                  <c:v>19.859330534050969</c:v>
                </c:pt>
                <c:pt idx="67">
                  <c:v>19.759701682557754</c:v>
                </c:pt>
                <c:pt idx="68">
                  <c:v>19.652673522890662</c:v>
                </c:pt>
                <c:pt idx="69">
                  <c:v>19.537861922813466</c:v>
                </c:pt>
                <c:pt idx="70">
                  <c:v>19.414885505601614</c:v>
                </c:pt>
                <c:pt idx="71">
                  <c:v>19.283368713442073</c:v>
                </c:pt>
                <c:pt idx="72">
                  <c:v>19.142944962005366</c:v>
                </c:pt>
                <c:pt idx="73">
                  <c:v>18.99325980968786</c:v>
                </c:pt>
                <c:pt idx="74">
                  <c:v>18.833974055707571</c:v>
                </c:pt>
                <c:pt idx="75">
                  <c:v>18.664766674962731</c:v>
                </c:pt>
                <c:pt idx="76">
                  <c:v>18.485337495144648</c:v>
                </c:pt>
                <c:pt idx="77">
                  <c:v>18.295409523691614</c:v>
                </c:pt>
                <c:pt idx="78">
                  <c:v>18.09473083916647</c:v>
                </c:pt>
                <c:pt idx="79">
                  <c:v>17.88307597360085</c:v>
                </c:pt>
                <c:pt idx="80">
                  <c:v>17.660246728961809</c:v>
                </c:pt>
                <c:pt idx="81">
                  <c:v>17.426072391479536</c:v>
                </c:pt>
                <c:pt idx="82">
                  <c:v>17.180409331106098</c:v>
                </c:pt>
                <c:pt idx="83">
                  <c:v>16.923139998567066</c:v>
                </c:pt>
                <c:pt idx="84">
                  <c:v>16.654171357884007</c:v>
                </c:pt>
                <c:pt idx="85">
                  <c:v>16.373432816407941</c:v>
                </c:pt>
                <c:pt idx="86">
                  <c:v>16.080873735938763</c:v>
                </c:pt>
                <c:pt idx="87">
                  <c:v>15.776460626246831</c:v>
                </c:pt>
                <c:pt idx="88">
                  <c:v>15.460174135368927</c:v>
                </c:pt>
                <c:pt idx="89">
                  <c:v>15.132005958894247</c:v>
                </c:pt>
                <c:pt idx="90">
                  <c:v>14.791955792881595</c:v>
                </c:pt>
                <c:pt idx="91">
                  <c:v>14.440028452171635</c:v>
                </c:pt>
                <c:pt idx="92">
                  <c:v>14.076231268075315</c:v>
                </c:pt>
                <c:pt idx="93">
                  <c:v>13.700571867280493</c:v>
                </c:pt>
                <c:pt idx="94">
                  <c:v>13.313056418035817</c:v>
                </c:pt>
                <c:pt idx="95">
                  <c:v>12.913688410973762</c:v>
                </c:pt>
                <c:pt idx="96">
                  <c:v>12.502468021083502</c:v>
                </c:pt>
                <c:pt idx="97">
                  <c:v>12.079392075066622</c:v>
                </c:pt>
                <c:pt idx="98">
                  <c:v>11.644454625311248</c:v>
                </c:pt>
                <c:pt idx="99">
                  <c:v>11.197648108682754</c:v>
                </c:pt>
                <c:pt idx="100">
                  <c:v>10.738965045945953</c:v>
                </c:pt>
                <c:pt idx="101">
                  <c:v>10.268400216589894</c:v>
                </c:pt>
                <c:pt idx="102">
                  <c:v>9.7859532248703083</c:v>
                </c:pt>
                <c:pt idx="103">
                  <c:v>9.291631356747116</c:v>
                </c:pt>
                <c:pt idx="104">
                  <c:v>8.7854526148382632</c:v>
                </c:pt>
                <c:pt idx="105">
                  <c:v>8.2674488102278705</c:v>
                </c:pt>
                <c:pt idx="106">
                  <c:v>7.7376685865471373</c:v>
                </c:pt>
                <c:pt idx="107">
                  <c:v>7.1961802535919075</c:v>
                </c:pt>
                <c:pt idx="108">
                  <c:v>6.6430743150095948</c:v>
                </c:pt>
                <c:pt idx="109">
                  <c:v>6.0784655871080693</c:v>
                </c:pt>
                <c:pt idx="110">
                  <c:v>5.5024948231146409</c:v>
                </c:pt>
                <c:pt idx="111">
                  <c:v>4.9153297783945575</c:v>
                </c:pt>
                <c:pt idx="112">
                  <c:v>4.317165676082527</c:v>
                </c:pt>
                <c:pt idx="113">
                  <c:v>3.7082250579329945</c:v>
                </c:pt>
                <c:pt idx="114">
                  <c:v>3.0887570304794214</c:v>
                </c:pt>
                <c:pt idx="115">
                  <c:v>2.4590359403694211</c:v>
                </c:pt>
                <c:pt idx="116">
                  <c:v>1.8193595336877908</c:v>
                </c:pt>
                <c:pt idx="117">
                  <c:v>1.1700466711646353</c:v>
                </c:pt>
                <c:pt idx="118">
                  <c:v>0.51143468363508071</c:v>
                </c:pt>
                <c:pt idx="119">
                  <c:v>-0.15612354034760381</c:v>
                </c:pt>
                <c:pt idx="120">
                  <c:v>-0.8322626402429768</c:v>
                </c:pt>
                <c:pt idx="121">
                  <c:v>-1.5166079500545637</c:v>
                </c:pt>
                <c:pt idx="122">
                  <c:v>-2.2087786590222831</c:v>
                </c:pt>
                <c:pt idx="123">
                  <c:v>-2.9083908888649352</c:v>
                </c:pt>
                <c:pt idx="124">
                  <c:v>-3.615060621222062</c:v>
                </c:pt>
                <c:pt idx="125">
                  <c:v>-4.3284064215063367</c:v>
                </c:pt>
                <c:pt idx="126">
                  <c:v>-5.048051918416169</c:v>
                </c:pt>
                <c:pt idx="127">
                  <c:v>-5.7736280111103211</c:v>
                </c:pt>
                <c:pt idx="128">
                  <c:v>-6.5047747879574578</c:v>
                </c:pt>
                <c:pt idx="129">
                  <c:v>-7.2411431513827456</c:v>
                </c:pt>
                <c:pt idx="130">
                  <c:v>-7.9823961524160243</c:v>
                </c:pt>
                <c:pt idx="131">
                  <c:v>-8.7282100459301546</c:v>
                </c:pt>
                <c:pt idx="132">
                  <c:v>-9.4782750832784011</c:v>
                </c:pt>
                <c:pt idx="133">
                  <c:v>-10.23229606315547</c:v>
                </c:pt>
                <c:pt idx="134">
                  <c:v>-10.989992664174203</c:v>
                </c:pt>
                <c:pt idx="135">
                  <c:v>-11.751099584070516</c:v>
                </c:pt>
                <c:pt idx="136">
                  <c:v>-12.515366510812944</c:v>
                </c:pt>
                <c:pt idx="137">
                  <c:v>-13.282557950427469</c:v>
                </c:pt>
                <c:pt idx="138">
                  <c:v>-14.05245293523947</c:v>
                </c:pt>
                <c:pt idx="139">
                  <c:v>-14.824844634677721</c:v>
                </c:pt>
                <c:pt idx="140">
                  <c:v>-15.599539888918738</c:v>
                </c:pt>
                <c:pt idx="141">
                  <c:v>-16.376358683625888</c:v>
                </c:pt>
                <c:pt idx="142">
                  <c:v>-17.15513358194179</c:v>
                </c:pt>
                <c:pt idx="143">
                  <c:v>-17.935709127826385</c:v>
                </c:pt>
                <c:pt idx="144">
                  <c:v>-18.717941232839486</c:v>
                </c:pt>
                <c:pt idx="145">
                  <c:v>-19.501696556599864</c:v>
                </c:pt>
                <c:pt idx="146">
                  <c:v>-20.286851889438093</c:v>
                </c:pt>
                <c:pt idx="147">
                  <c:v>-21.07329354420887</c:v>
                </c:pt>
                <c:pt idx="148">
                  <c:v>-21.860916762846074</c:v>
                </c:pt>
                <c:pt idx="149">
                  <c:v>-22.649625142037184</c:v>
                </c:pt>
                <c:pt idx="150">
                  <c:v>-23.439330081340746</c:v>
                </c:pt>
                <c:pt idx="151">
                  <c:v>-24.229950256177631</c:v>
                </c:pt>
                <c:pt idx="152">
                  <c:v>-25.021411117368647</c:v>
                </c:pt>
                <c:pt idx="153">
                  <c:v>-25.813644418261681</c:v>
                </c:pt>
                <c:pt idx="154">
                  <c:v>-26.6065877699738</c:v>
                </c:pt>
                <c:pt idx="155">
                  <c:v>-27.400184224855618</c:v>
                </c:pt>
                <c:pt idx="156">
                  <c:v>-28.194381887954894</c:v>
                </c:pt>
                <c:pt idx="157">
                  <c:v>-28.989133555996368</c:v>
                </c:pt>
                <c:pt idx="158">
                  <c:v>-29.784396383203351</c:v>
                </c:pt>
                <c:pt idx="159">
                  <c:v>-30.580131573145025</c:v>
                </c:pt>
                <c:pt idx="160">
                  <c:v>-31.376304095698458</c:v>
                </c:pt>
                <c:pt idx="161">
                  <c:v>-32.172882428156512</c:v>
                </c:pt>
                <c:pt idx="162">
                  <c:v>-32.969838319484651</c:v>
                </c:pt>
                <c:pt idx="163">
                  <c:v>-33.76714657672585</c:v>
                </c:pt>
                <c:pt idx="164">
                  <c:v>-34.564784872572233</c:v>
                </c:pt>
                <c:pt idx="165">
                  <c:v>-35.362733573148091</c:v>
                </c:pt>
                <c:pt idx="166">
                  <c:v>-36.160975585102797</c:v>
                </c:pt>
                <c:pt idx="167">
                  <c:v>-36.95949622114918</c:v>
                </c:pt>
                <c:pt idx="168">
                  <c:v>-37.75828308325751</c:v>
                </c:pt>
                <c:pt idx="169">
                  <c:v>-38.557325962763798</c:v>
                </c:pt>
                <c:pt idx="170">
                  <c:v>-39.356616756721323</c:v>
                </c:pt>
                <c:pt idx="171">
                  <c:v>-40.156149399883603</c:v>
                </c:pt>
                <c:pt idx="172">
                  <c:v>-40.955919811770741</c:v>
                </c:pt>
                <c:pt idx="173">
                  <c:v>-41.755925858323508</c:v>
                </c:pt>
                <c:pt idx="174">
                  <c:v>-42.55616732770762</c:v>
                </c:pt>
                <c:pt idx="175">
                  <c:v>-43.356645919869067</c:v>
                </c:pt>
                <c:pt idx="176">
                  <c:v>-44.157365249482659</c:v>
                </c:pt>
                <c:pt idx="177">
                  <c:v>-44.958330861958657</c:v>
                </c:pt>
                <c:pt idx="178">
                  <c:v>-45.759550262186565</c:v>
                </c:pt>
                <c:pt idx="179">
                  <c:v>-46.561032955692653</c:v>
                </c:pt>
                <c:pt idx="180">
                  <c:v>-47.362790501866883</c:v>
                </c:pt>
                <c:pt idx="181">
                  <c:v>-48.164836578873881</c:v>
                </c:pt>
                <c:pt idx="182">
                  <c:v>-48.967187059795648</c:v>
                </c:pt>
                <c:pt idx="183">
                  <c:v>-49.769860099459471</c:v>
                </c:pt>
                <c:pt idx="184">
                  <c:v>-50.572876231272872</c:v>
                </c:pt>
                <c:pt idx="185">
                  <c:v>-51.376258473222407</c:v>
                </c:pt>
                <c:pt idx="186">
                  <c:v>-52.180032441978021</c:v>
                </c:pt>
                <c:pt idx="187">
                  <c:v>-52.984226473783671</c:v>
                </c:pt>
                <c:pt idx="188">
                  <c:v>-53.788871750491296</c:v>
                </c:pt>
                <c:pt idx="189">
                  <c:v>-54.594002428715129</c:v>
                </c:pt>
                <c:pt idx="190">
                  <c:v>-55.399655769623578</c:v>
                </c:pt>
                <c:pt idx="191">
                  <c:v>-56.205872266356678</c:v>
                </c:pt>
                <c:pt idx="192">
                  <c:v>-57.012695765444128</c:v>
                </c:pt>
                <c:pt idx="193">
                  <c:v>-57.820173577894892</c:v>
                </c:pt>
                <c:pt idx="194">
                  <c:v>-58.628356574848198</c:v>
                </c:pt>
                <c:pt idx="195">
                  <c:v>-59.437299261799041</c:v>
                </c:pt>
                <c:pt idx="196">
                  <c:v>-60.247059824466746</c:v>
                </c:pt>
                <c:pt idx="197">
                  <c:v>-61.057700138357788</c:v>
                </c:pt>
                <c:pt idx="198">
                  <c:v>-61.869285733024178</c:v>
                </c:pt>
                <c:pt idx="199">
                  <c:v>-62.681885700947703</c:v>
                </c:pt>
                <c:pt idx="200">
                  <c:v>-63.495572539954296</c:v>
                </c:pt>
              </c:numCache>
            </c:numRef>
          </c:yVal>
          <c:smooth val="1"/>
        </c:ser>
        <c:ser>
          <c:idx val="0"/>
          <c:order val="1"/>
          <c:tx>
            <c:v>Compensation</c:v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Compensation!$AX$64:$AX$264</c:f>
              <c:numCache>
                <c:formatCode>General</c:formatCode>
                <c:ptCount val="201"/>
                <c:pt idx="0">
                  <c:v>22.935853465959276</c:v>
                </c:pt>
                <c:pt idx="1">
                  <c:v>22.538802824405167</c:v>
                </c:pt>
                <c:pt idx="2">
                  <c:v>22.141796667274779</c:v>
                </c:pt>
                <c:pt idx="3">
                  <c:v>21.744860112981364</c:v>
                </c:pt>
                <c:pt idx="4">
                  <c:v>21.34801884427447</c:v>
                </c:pt>
                <c:pt idx="5">
                  <c:v>20.951299315436344</c:v>
                </c:pt>
                <c:pt idx="6">
                  <c:v>20.554728964794016</c:v>
                </c:pt>
                <c:pt idx="7">
                  <c:v>20.158336433958873</c:v>
                </c:pt>
                <c:pt idx="8">
                  <c:v>19.762151795205387</c:v>
                </c:pt>
                <c:pt idx="9">
                  <c:v>19.366206788410974</c:v>
                </c:pt>
                <c:pt idx="10">
                  <c:v>18.970535068973334</c:v>
                </c:pt>
                <c:pt idx="11">
                  <c:v>18.575172468120229</c:v>
                </c:pt>
                <c:pt idx="12">
                  <c:v>18.180157267011591</c:v>
                </c:pt>
                <c:pt idx="13">
                  <c:v>17.785530486007858</c:v>
                </c:pt>
                <c:pt idx="14">
                  <c:v>17.391336190438675</c:v>
                </c:pt>
                <c:pt idx="15">
                  <c:v>16.997621814142637</c:v>
                </c:pt>
                <c:pt idx="16">
                  <c:v>16.604438501964079</c:v>
                </c:pt>
                <c:pt idx="17">
                  <c:v>16.211841472271999</c:v>
                </c:pt>
                <c:pt idx="18">
                  <c:v>15.81989040040953</c:v>
                </c:pt>
                <c:pt idx="19">
                  <c:v>15.428649823776093</c:v>
                </c:pt>
                <c:pt idx="20">
                  <c:v>15.038189568982812</c:v>
                </c:pt>
                <c:pt idx="21">
                  <c:v>14.648585201191802</c:v>
                </c:pt>
                <c:pt idx="22">
                  <c:v>14.259918495342603</c:v>
                </c:pt>
                <c:pt idx="23">
                  <c:v>13.872277928469064</c:v>
                </c:pt>
                <c:pt idx="24">
                  <c:v>13.485759191706791</c:v>
                </c:pt>
                <c:pt idx="25">
                  <c:v>13.100465719869455</c:v>
                </c:pt>
                <c:pt idx="26">
                  <c:v>12.716509235617078</c:v>
                </c:pt>
                <c:pt idx="27">
                  <c:v>12.334010304242646</c:v>
                </c:pt>
                <c:pt idx="28">
                  <c:v>11.953098893942833</c:v>
                </c:pt>
                <c:pt idx="29">
                  <c:v>11.573914935121664</c:v>
                </c:pt>
                <c:pt idx="30">
                  <c:v>11.196608870775638</c:v>
                </c:pt>
                <c:pt idx="31">
                  <c:v>10.821342188350442</c:v>
                </c:pt>
                <c:pt idx="32">
                  <c:v>10.448287921630165</c:v>
                </c:pt>
                <c:pt idx="33">
                  <c:v>10.077631109252803</c:v>
                </c:pt>
                <c:pt idx="34">
                  <c:v>9.7095691943705713</c:v>
                </c:pt>
                <c:pt idx="35">
                  <c:v>9.3443123478364143</c:v>
                </c:pt>
                <c:pt idx="36">
                  <c:v>8.9820836951729941</c:v>
                </c:pt>
                <c:pt idx="37">
                  <c:v>8.6231194255556112</c:v>
                </c:pt>
                <c:pt idx="38">
                  <c:v>8.2676687592345885</c:v>
                </c:pt>
                <c:pt idx="39">
                  <c:v>7.9159937483782974</c:v>
                </c:pt>
                <c:pt idx="40">
                  <c:v>7.5683688854004636</c:v>
                </c:pt>
                <c:pt idx="41">
                  <c:v>7.2250804926400916</c:v>
                </c:pt>
                <c:pt idx="42">
                  <c:v>6.8864258679936459</c:v>
                </c:pt>
                <c:pt idx="43">
                  <c:v>6.5527121629727834</c:v>
                </c:pt>
                <c:pt idx="44">
                  <c:v>6.2242549728826901</c:v>
                </c:pt>
                <c:pt idx="45">
                  <c:v>5.9013766235778045</c:v>
                </c:pt>
                <c:pt idx="46">
                  <c:v>5.584404145669593</c:v>
                </c:pt>
                <c:pt idx="47">
                  <c:v>5.2736669352137122</c:v>
                </c:pt>
                <c:pt idx="48">
                  <c:v>4.9694941097446161</c:v>
                </c:pt>
                <c:pt idx="49">
                  <c:v>4.6722115798720782</c:v>
                </c:pt>
                <c:pt idx="50">
                  <c:v>4.3821388692198893</c:v>
                </c:pt>
                <c:pt idx="51">
                  <c:v>4.0995857287584698</c:v>
                </c:pt>
                <c:pt idx="52">
                  <c:v>3.824848604966085</c:v>
                </c:pt>
                <c:pt idx="53">
                  <c:v>3.5582070339445293</c:v>
                </c:pt>
                <c:pt idx="54">
                  <c:v>3.2999200447692321</c:v>
                </c:pt>
                <c:pt idx="55">
                  <c:v>3.0502226640554486</c:v>
                </c:pt>
                <c:pt idx="56">
                  <c:v>2.8093226191112208</c:v>
                </c:pt>
                <c:pt idx="57">
                  <c:v>2.5773973383767408</c:v>
                </c:pt>
                <c:pt idx="58">
                  <c:v>2.3545913446115323</c:v>
                </c:pt>
                <c:pt idx="59">
                  <c:v>2.1410141282372077</c:v>
                </c:pt>
                <c:pt idx="60">
                  <c:v>1.9367385755093312</c:v>
                </c:pt>
                <c:pt idx="61">
                  <c:v>1.7418000092603749</c:v>
                </c:pt>
                <c:pt idx="62">
                  <c:v>1.5561958796750652</c:v>
                </c:pt>
                <c:pt idx="63">
                  <c:v>1.3798861200692571</c:v>
                </c:pt>
                <c:pt idx="64">
                  <c:v>1.2127941592834794</c:v>
                </c:pt>
                <c:pt idx="65">
                  <c:v>1.0548085594978664</c:v>
                </c:pt>
                <c:pt idx="66">
                  <c:v>0.90578522738603873</c:v>
                </c:pt>
                <c:pt idx="67">
                  <c:v>0.76555012875937634</c:v>
                </c:pt>
                <c:pt idx="68">
                  <c:v>0.63390242311454348</c:v>
                </c:pt>
                <c:pt idx="69">
                  <c:v>0.51061792536827977</c:v>
                </c:pt>
                <c:pt idx="70">
                  <c:v>0.39545279774083364</c:v>
                </c:pt>
                <c:pt idx="71">
                  <c:v>0.28814737507946186</c:v>
                </c:pt>
                <c:pt idx="72">
                  <c:v>0.18843003142725961</c:v>
                </c:pt>
                <c:pt idx="73">
                  <c:v>9.6021003644009256E-2</c:v>
                </c:pt>
                <c:pt idx="74">
                  <c:v>1.0636098522807402E-2</c:v>
                </c:pt>
                <c:pt idx="75">
                  <c:v>-6.8009777787147632E-2</c:v>
                </c:pt>
                <c:pt idx="76">
                  <c:v>-0.14019931603075952</c:v>
                </c:pt>
                <c:pt idx="77">
                  <c:v>-0.20620976049889436</c:v>
                </c:pt>
                <c:pt idx="78">
                  <c:v>-0.26631014819401766</c:v>
                </c:pt>
                <c:pt idx="79">
                  <c:v>-0.32075884115208064</c:v>
                </c:pt>
                <c:pt idx="80">
                  <c:v>-0.36980135261488389</c:v>
                </c:pt>
                <c:pt idx="81">
                  <c:v>-0.41366845951116393</c:v>
                </c:pt>
                <c:pt idx="82">
                  <c:v>-0.45257458727954325</c:v>
                </c:pt>
                <c:pt idx="83">
                  <c:v>-0.48671644840825984</c:v>
                </c:pt>
                <c:pt idx="84">
                  <c:v>-0.51627191308052955</c:v>
                </c:pt>
                <c:pt idx="85">
                  <c:v>-0.54139908883042898</c:v>
                </c:pt>
                <c:pt idx="86">
                  <c:v>-0.56223558595186507</c:v>
                </c:pt>
                <c:pt idx="87">
                  <c:v>-0.57889794635201064</c:v>
                </c:pt>
                <c:pt idx="88">
                  <c:v>-0.59148121541444476</c:v>
                </c:pt>
                <c:pt idx="89">
                  <c:v>-0.60005863903884515</c:v>
                </c:pt>
                <c:pt idx="90">
                  <c:v>-0.60468147119934956</c:v>
                </c:pt>
                <c:pt idx="91">
                  <c:v>-0.60537888096145975</c:v>
                </c:pt>
                <c:pt idx="92">
                  <c:v>-0.60215795178579323</c:v>
                </c:pt>
                <c:pt idx="93">
                  <c:v>-0.59500377003456562</c:v>
                </c:pt>
                <c:pt idx="94">
                  <c:v>-0.58387960375646131</c:v>
                </c:pt>
                <c:pt idx="95">
                  <c:v>-0.56872717699337505</c:v>
                </c:pt>
                <c:pt idx="96">
                  <c:v>-0.54946704891007536</c:v>
                </c:pt>
                <c:pt idx="97">
                  <c:v>-0.52599911091248819</c:v>
                </c:pt>
                <c:pt idx="98">
                  <c:v>-0.49820321846460247</c:v>
                </c:pt>
                <c:pt idx="99">
                  <c:v>-0.46593997741858512</c:v>
                </c:pt>
                <c:pt idx="100">
                  <c:v>-0.42905170718001567</c:v>
                </c:pt>
                <c:pt idx="101">
                  <c:v>-0.38736360477511161</c:v>
                </c:pt>
                <c:pt idx="102">
                  <c:v>-0.34068513467665207</c:v>
                </c:pt>
                <c:pt idx="103">
                  <c:v>-0.28881166888773713</c:v>
                </c:pt>
                <c:pt idx="104">
                  <c:v>-0.23152640006584016</c:v>
                </c:pt>
                <c:pt idx="105">
                  <c:v>-0.16860254722467746</c:v>
                </c:pt>
                <c:pt idx="106">
                  <c:v>-9.9805868607113324E-2</c:v>
                </c:pt>
                <c:pt idx="107">
                  <c:v>-2.4897489604294165E-2</c:v>
                </c:pt>
                <c:pt idx="108">
                  <c:v>5.6362954918748556E-2</c:v>
                </c:pt>
                <c:pt idx="109">
                  <c:v>0.14421387473019867</c:v>
                </c:pt>
                <c:pt idx="110">
                  <c:v>0.23888799725896942</c:v>
                </c:pt>
                <c:pt idx="111">
                  <c:v>0.34060839473652571</c:v>
                </c:pt>
                <c:pt idx="112">
                  <c:v>0.44958431385537007</c:v>
                </c:pt>
                <c:pt idx="113">
                  <c:v>0.56600686937051325</c:v>
                </c:pt>
                <c:pt idx="114">
                  <c:v>0.69004467506736389</c:v>
                </c:pt>
                <c:pt idx="115">
                  <c:v>0.82183949562070691</c:v>
                </c:pt>
                <c:pt idx="116">
                  <c:v>0.96150201016998771</c:v>
                </c:pt>
                <c:pt idx="117">
                  <c:v>1.1091077821084443</c:v>
                </c:pt>
                <c:pt idx="118">
                  <c:v>1.2646935290016068</c:v>
                </c:pt>
                <c:pt idx="119">
                  <c:v>1.4282537813020264</c:v>
                </c:pt>
                <c:pt idx="120">
                  <c:v>1.5997380085429129</c:v>
                </c:pt>
                <c:pt idx="121">
                  <c:v>1.779048277282548</c:v>
                </c:pt>
                <c:pt idx="122">
                  <c:v>1.9660374868786263</c:v>
                </c:pt>
                <c:pt idx="123">
                  <c:v>2.1605082082163927</c:v>
                </c:pt>
                <c:pt idx="124">
                  <c:v>2.3622121280498956</c:v>
                </c:pt>
                <c:pt idx="125">
                  <c:v>2.57085007905328</c:v>
                </c:pt>
                <c:pt idx="126">
                  <c:v>2.7860726144648207</c:v>
                </c:pt>
                <c:pt idx="127">
                  <c:v>3.0074810676612378</c:v>
                </c:pt>
                <c:pt idx="128">
                  <c:v>3.2346290222448548</c:v>
                </c:pt>
                <c:pt idx="129">
                  <c:v>3.4670241080496722</c:v>
                </c:pt>
                <c:pt idx="130">
                  <c:v>3.7041300333174116</c:v>
                </c:pt>
                <c:pt idx="131">
                  <c:v>3.9453687632193235</c:v>
                </c:pt>
                <c:pt idx="132">
                  <c:v>4.1901227596220929</c:v>
                </c:pt>
                <c:pt idx="133">
                  <c:v>4.437737205949551</c:v>
                </c:pt>
                <c:pt idx="134">
                  <c:v>4.6875221533953484</c:v>
                </c:pt>
                <c:pt idx="135">
                  <c:v>4.9387545397017414</c:v>
                </c:pt>
                <c:pt idx="136">
                  <c:v>5.1906800482893338</c:v>
                </c:pt>
                <c:pt idx="137">
                  <c:v>5.4425147927997584</c:v>
                </c:pt>
                <c:pt idx="138">
                  <c:v>5.6934468292644063</c:v>
                </c:pt>
                <c:pt idx="139">
                  <c:v>5.942637514420273</c:v>
                </c:pt>
                <c:pt idx="140">
                  <c:v>6.1892227435753533</c:v>
                </c:pt>
                <c:pt idx="141">
                  <c:v>6.4323141144060871</c:v>
                </c:pt>
                <c:pt idx="142">
                  <c:v>6.6710000738004975</c:v>
                </c:pt>
                <c:pt idx="143">
                  <c:v>6.9043471130758256</c:v>
                </c:pt>
                <c:pt idx="144">
                  <c:v>7.13140108241174</c:v>
                </c:pt>
                <c:pt idx="145">
                  <c:v>7.3511886980216463</c:v>
                </c:pt>
                <c:pt idx="146">
                  <c:v>7.5627193153459764</c:v>
                </c:pt>
                <c:pt idx="147">
                  <c:v>7.7649870383708191</c:v>
                </c:pt>
                <c:pt idx="148">
                  <c:v>7.95697322905652</c:v>
                </c:pt>
                <c:pt idx="149">
                  <c:v>8.1376494718974577</c:v>
                </c:pt>
                <c:pt idx="150">
                  <c:v>8.3059810369789222</c:v>
                </c:pt>
                <c:pt idx="151">
                  <c:v>8.4609308708098059</c:v>
                </c:pt>
                <c:pt idx="152">
                  <c:v>8.601464128041167</c:v>
                </c:pt>
                <c:pt idx="153">
                  <c:v>8.726553239403259</c:v>
                </c:pt>
                <c:pt idx="154">
                  <c:v>8.8351834923547585</c:v>
                </c:pt>
                <c:pt idx="155">
                  <c:v>8.9263590816874157</c:v>
                </c:pt>
                <c:pt idx="156">
                  <c:v>8.9991095683339637</c:v>
                </c:pt>
                <c:pt idx="157">
                  <c:v>9.0524966665798683</c:v>
                </c:pt>
                <c:pt idx="158">
                  <c:v>9.0856212634206415</c:v>
                </c:pt>
                <c:pt idx="159">
                  <c:v>9.0976305595011446</c:v>
                </c:pt>
                <c:pt idx="160">
                  <c:v>9.0877252093885978</c:v>
                </c:pt>
                <c:pt idx="161">
                  <c:v>9.0551663302051981</c:v>
                </c:pt>
                <c:pt idx="162">
                  <c:v>8.9992822421218452</c:v>
                </c:pt>
                <c:pt idx="163">
                  <c:v>8.9194748020295975</c:v>
                </c:pt>
                <c:pt idx="164">
                  <c:v>8.8152251929565573</c:v>
                </c:pt>
                <c:pt idx="165">
                  <c:v>8.6860990365409041</c:v>
                </c:pt>
                <c:pt idx="166">
                  <c:v>8.531750704169669</c:v>
                </c:pt>
                <c:pt idx="167">
                  <c:v>8.351926714292107</c:v>
                </c:pt>
                <c:pt idx="168">
                  <c:v>8.1464681189456183</c:v>
                </c:pt>
                <c:pt idx="169">
                  <c:v>7.9153118016356627</c:v>
                </c:pt>
                <c:pt idx="170">
                  <c:v>7.6584906312074406</c:v>
                </c:pt>
                <c:pt idx="171">
                  <c:v>7.3761324418578411</c:v>
                </c:pt>
                <c:pt idx="172">
                  <c:v>7.0684578373291611</c:v>
                </c:pt>
                <c:pt idx="173">
                  <c:v>6.735776846731226</c:v>
                </c:pt>
                <c:pt idx="174">
                  <c:v>6.3784844892074517</c:v>
                </c:pt>
                <c:pt idx="175">
                  <c:v>5.9970553334985439</c:v>
                </c:pt>
                <c:pt idx="176">
                  <c:v>5.5920371649518046</c:v>
                </c:pt>
                <c:pt idx="177">
                  <c:v>5.1640438953172598</c:v>
                </c:pt>
                <c:pt idx="178">
                  <c:v>4.7137478685563208</c:v>
                </c:pt>
                <c:pt idx="179">
                  <c:v>4.2418717279469442</c:v>
                </c:pt>
                <c:pt idx="180">
                  <c:v>3.7491800154433945</c:v>
                </c:pt>
                <c:pt idx="181">
                  <c:v>3.2364706734005573</c:v>
                </c:pt>
                <c:pt idx="182">
                  <c:v>2.7045666117066554</c:v>
                </c:pt>
                <c:pt idx="183">
                  <c:v>2.1543074907239785</c:v>
                </c:pt>
                <c:pt idx="184">
                  <c:v>1.5865418532294708</c:v>
                </c:pt>
                <c:pt idx="185">
                  <c:v>1.0021197179270722</c:v>
                </c:pt>
                <c:pt idx="186">
                  <c:v>0.40188572437153236</c:v>
                </c:pt>
                <c:pt idx="187">
                  <c:v>-0.21332710443372396</c:v>
                </c:pt>
                <c:pt idx="188">
                  <c:v>-0.84270293875868474</c:v>
                </c:pt>
                <c:pt idx="189">
                  <c:v>-1.4854480371164833</c:v>
                </c:pt>
                <c:pt idx="190">
                  <c:v>-2.1407949582357531</c:v>
                </c:pt>
                <c:pt idx="191">
                  <c:v>-2.8080061059672259</c:v>
                </c:pt>
                <c:pt idx="192">
                  <c:v>-3.4863766372578993</c:v>
                </c:pt>
                <c:pt idx="193">
                  <c:v>-4.1752367744401404</c:v>
                </c:pt>
                <c:pt idx="194">
                  <c:v>-4.8739535711818887</c:v>
                </c:pt>
                <c:pt idx="195">
                  <c:v>-5.5819321867128409</c:v>
                </c:pt>
                <c:pt idx="196">
                  <c:v>-6.2986167256789258</c:v>
                </c:pt>
                <c:pt idx="197">
                  <c:v>-7.0234907015375363</c:v>
                </c:pt>
                <c:pt idx="198">
                  <c:v>-7.7560771801421824</c:v>
                </c:pt>
                <c:pt idx="199">
                  <c:v>-8.4959386574654818</c:v>
                </c:pt>
                <c:pt idx="200">
                  <c:v>-9.2426767215974071</c:v>
                </c:pt>
              </c:numCache>
            </c:numRef>
          </c:yVal>
          <c:smooth val="1"/>
        </c:ser>
        <c:ser>
          <c:idx val="1"/>
          <c:order val="2"/>
          <c:tx>
            <c:v>T(s) with Comp</c:v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Compensation!$BE$64:$BE$264</c:f>
              <c:numCache>
                <c:formatCode>General</c:formatCode>
                <c:ptCount val="201"/>
                <c:pt idx="0">
                  <c:v>43.962215676228162</c:v>
                </c:pt>
                <c:pt idx="1">
                  <c:v>43.564873420648247</c:v>
                </c:pt>
                <c:pt idx="2">
                  <c:v>43.167547535068891</c:v>
                </c:pt>
                <c:pt idx="3">
                  <c:v>42.770260429510707</c:v>
                </c:pt>
                <c:pt idx="4">
                  <c:v>42.373034817844953</c:v>
                </c:pt>
                <c:pt idx="5">
                  <c:v>41.975893900024076</c:v>
                </c:pt>
                <c:pt idx="6">
                  <c:v>41.578861547250632</c:v>
                </c:pt>
                <c:pt idx="7">
                  <c:v>41.181962491277197</c:v>
                </c:pt>
                <c:pt idx="8">
                  <c:v>40.785222519004137</c:v>
                </c:pt>
                <c:pt idx="9">
                  <c:v>40.388668673533573</c:v>
                </c:pt>
                <c:pt idx="10">
                  <c:v>39.992329462806978</c:v>
                </c:pt>
                <c:pt idx="11">
                  <c:v>39.59623507692968</c:v>
                </c:pt>
                <c:pt idx="12">
                  <c:v>39.200417615239196</c:v>
                </c:pt>
                <c:pt idx="13">
                  <c:v>38.804911324121953</c:v>
                </c:pt>
                <c:pt idx="14">
                  <c:v>38.40975284650942</c:v>
                </c:pt>
                <c:pt idx="15">
                  <c:v>38.014981483889329</c:v>
                </c:pt>
                <c:pt idx="16">
                  <c:v>37.620639471543711</c:v>
                </c:pt>
                <c:pt idx="17">
                  <c:v>37.226772267567362</c:v>
                </c:pt>
                <c:pt idx="18">
                  <c:v>36.833428856024256</c:v>
                </c:pt>
                <c:pt idx="19">
                  <c:v>36.440662064345794</c:v>
                </c:pt>
                <c:pt idx="20">
                  <c:v>36.0485288947702</c:v>
                </c:pt>
                <c:pt idx="21">
                  <c:v>35.657090869243504</c:v>
                </c:pt>
                <c:pt idx="22">
                  <c:v>35.266414386746227</c:v>
                </c:pt>
                <c:pt idx="23">
                  <c:v>34.876571091455403</c:v>
                </c:pt>
                <c:pt idx="24">
                  <c:v>34.487638249500762</c:v>
                </c:pt>
                <c:pt idx="25">
                  <c:v>34.09969913129401</c:v>
                </c:pt>
                <c:pt idx="26">
                  <c:v>33.712843395504358</c:v>
                </c:pt>
                <c:pt idx="27">
                  <c:v>33.327167469705067</c:v>
                </c:pt>
                <c:pt idx="28">
                  <c:v>32.942774921505354</c:v>
                </c:pt>
                <c:pt idx="29">
                  <c:v>32.559776812619177</c:v>
                </c:pt>
                <c:pt idx="30">
                  <c:v>32.178292026784383</c:v>
                </c:pt>
                <c:pt idx="31">
                  <c:v>31.798447560755395</c:v>
                </c:pt>
                <c:pt idx="32">
                  <c:v>31.420378765743713</c:v>
                </c:pt>
                <c:pt idx="33">
                  <c:v>31.044229524709024</c:v>
                </c:pt>
                <c:pt idx="34">
                  <c:v>30.670152348841558</c:v>
                </c:pt>
                <c:pt idx="35">
                  <c:v>30.29830837447653</c:v>
                </c:pt>
                <c:pt idx="36">
                  <c:v>29.928867239623468</c:v>
                </c:pt>
                <c:pt idx="37">
                  <c:v>29.56200681737096</c:v>
                </c:pt>
                <c:pt idx="38">
                  <c:v>29.197912781764657</c:v>
                </c:pt>
                <c:pt idx="39">
                  <c:v>28.836777980513425</c:v>
                </c:pt>
                <c:pt idx="40">
                  <c:v>28.478801588219511</c:v>
                </c:pt>
                <c:pt idx="41">
                  <c:v>28.124188013962033</c:v>
                </c:pt>
                <c:pt idx="42">
                  <c:v>27.773145538216273</c:v>
                </c:pt>
                <c:pt idx="43">
                  <c:v>27.425884656475024</c:v>
                </c:pt>
                <c:pt idx="44">
                  <c:v>27.082616110784961</c:v>
                </c:pt>
                <c:pt idx="45">
                  <c:v>26.743548595923762</c:v>
                </c:pt>
                <c:pt idx="46">
                  <c:v>26.408886134245549</c:v>
                </c:pt>
                <c:pt idx="47">
                  <c:v>26.078825122413708</c:v>
                </c:pt>
                <c:pt idx="48">
                  <c:v>25.753551064280703</c:v>
                </c:pt>
                <c:pt idx="49">
                  <c:v>25.433235016883184</c:v>
                </c:pt>
                <c:pt idx="50">
                  <c:v>25.118029790630079</c:v>
                </c:pt>
                <c:pt idx="51">
                  <c:v>24.808065959730484</c:v>
                </c:pt>
                <c:pt idx="52">
                  <c:v>24.503447754149438</c:v>
                </c:pt>
                <c:pt idx="53">
                  <c:v>24.204248919054208</c:v>
                </c:pt>
                <c:pt idx="54">
                  <c:v>23.910508640933745</c:v>
                </c:pt>
                <c:pt idx="55">
                  <c:v>23.622227650371215</c:v>
                </c:pt>
                <c:pt idx="56">
                  <c:v>23.339364618883437</c:v>
                </c:pt>
                <c:pt idx="57">
                  <c:v>23.061832970454983</c:v>
                </c:pt>
                <c:pt idx="58">
                  <c:v>22.789498226760333</c:v>
                </c:pt>
                <c:pt idx="59">
                  <c:v>22.52217599817903</c:v>
                </c:pt>
                <c:pt idx="60">
                  <c:v>22.259630720521105</c:v>
                </c:pt>
                <c:pt idx="61">
                  <c:v>22.001575220182289</c:v>
                </c:pt>
                <c:pt idx="62">
                  <c:v>21.747671168876753</c:v>
                </c:pt>
                <c:pt idx="63">
                  <c:v>21.497530464075709</c:v>
                </c:pt>
                <c:pt idx="64">
                  <c:v>21.250717543973032</c:v>
                </c:pt>
                <c:pt idx="65">
                  <c:v>21.0067526174536</c:v>
                </c:pt>
                <c:pt idx="66">
                  <c:v>20.765115761437034</c:v>
                </c:pt>
                <c:pt idx="67">
                  <c:v>20.52525181131714</c:v>
                </c:pt>
                <c:pt idx="68">
                  <c:v>20.286575946005204</c:v>
                </c:pt>
                <c:pt idx="69">
                  <c:v>20.048479848181771</c:v>
                </c:pt>
                <c:pt idx="70">
                  <c:v>19.810338303342451</c:v>
                </c:pt>
                <c:pt idx="71">
                  <c:v>19.57151608852153</c:v>
                </c:pt>
                <c:pt idx="72">
                  <c:v>19.331374993432625</c:v>
                </c:pt>
                <c:pt idx="73">
                  <c:v>19.089280813331907</c:v>
                </c:pt>
                <c:pt idx="74">
                  <c:v>18.844610154230391</c:v>
                </c:pt>
                <c:pt idx="75">
                  <c:v>18.596756897175609</c:v>
                </c:pt>
                <c:pt idx="76">
                  <c:v>18.345138179113913</c:v>
                </c:pt>
                <c:pt idx="77">
                  <c:v>18.089199763192717</c:v>
                </c:pt>
                <c:pt idx="78">
                  <c:v>17.82842069097245</c:v>
                </c:pt>
                <c:pt idx="79">
                  <c:v>17.562317132448769</c:v>
                </c:pt>
                <c:pt idx="80">
                  <c:v>17.290445376346973</c:v>
                </c:pt>
                <c:pt idx="81">
                  <c:v>17.01240393196839</c:v>
                </c:pt>
                <c:pt idx="82">
                  <c:v>16.727834743826595</c:v>
                </c:pt>
                <c:pt idx="83">
                  <c:v>16.436423550158803</c:v>
                </c:pt>
                <c:pt idx="84">
                  <c:v>16.137899444803459</c:v>
                </c:pt>
                <c:pt idx="85">
                  <c:v>15.832033727577524</c:v>
                </c:pt>
                <c:pt idx="86">
                  <c:v>15.518638149986916</c:v>
                </c:pt>
                <c:pt idx="87">
                  <c:v>15.197562679894842</c:v>
                </c:pt>
                <c:pt idx="88">
                  <c:v>14.868692919954485</c:v>
                </c:pt>
                <c:pt idx="89">
                  <c:v>14.531947319855403</c:v>
                </c:pt>
                <c:pt idx="90">
                  <c:v>14.187274321682235</c:v>
                </c:pt>
                <c:pt idx="91">
                  <c:v>13.834649571210187</c:v>
                </c:pt>
                <c:pt idx="92">
                  <c:v>13.474073316289514</c:v>
                </c:pt>
                <c:pt idx="93">
                  <c:v>13.105568097245923</c:v>
                </c:pt>
                <c:pt idx="94">
                  <c:v>12.729176814279366</c:v>
                </c:pt>
                <c:pt idx="95">
                  <c:v>12.344961233980396</c:v>
                </c:pt>
                <c:pt idx="96">
                  <c:v>11.95300097217344</c:v>
                </c:pt>
                <c:pt idx="97">
                  <c:v>11.553392964154119</c:v>
                </c:pt>
                <c:pt idx="98">
                  <c:v>11.146251406846657</c:v>
                </c:pt>
                <c:pt idx="99">
                  <c:v>10.731708131264199</c:v>
                </c:pt>
                <c:pt idx="100">
                  <c:v>10.309913338765924</c:v>
                </c:pt>
                <c:pt idx="101">
                  <c:v>9.8810366118147819</c:v>
                </c:pt>
                <c:pt idx="102">
                  <c:v>9.4452680901936468</c:v>
                </c:pt>
                <c:pt idx="103">
                  <c:v>9.0028196878593718</c:v>
                </c:pt>
                <c:pt idx="104">
                  <c:v>8.5539262147724369</c:v>
                </c:pt>
                <c:pt idx="105">
                  <c:v>8.098846263003189</c:v>
                </c:pt>
                <c:pt idx="106">
                  <c:v>7.6378627179400134</c:v>
                </c:pt>
                <c:pt idx="107">
                  <c:v>7.1712827639875929</c:v>
                </c:pt>
                <c:pt idx="108">
                  <c:v>6.6994372699283566</c:v>
                </c:pt>
                <c:pt idx="109">
                  <c:v>6.2226794618382737</c:v>
                </c:pt>
                <c:pt idx="110">
                  <c:v>5.7413828203735999</c:v>
                </c:pt>
                <c:pt idx="111">
                  <c:v>5.2559381731310664</c:v>
                </c:pt>
                <c:pt idx="112">
                  <c:v>4.7667499899379093</c:v>
                </c:pt>
                <c:pt idx="113">
                  <c:v>4.274231927303501</c:v>
                </c:pt>
                <c:pt idx="114">
                  <c:v>3.7788017055467602</c:v>
                </c:pt>
                <c:pt idx="115">
                  <c:v>3.2808754359901466</c:v>
                </c:pt>
                <c:pt idx="116">
                  <c:v>2.780861543857776</c:v>
                </c:pt>
                <c:pt idx="117">
                  <c:v>2.2791544532730215</c:v>
                </c:pt>
                <c:pt idx="118">
                  <c:v>1.7761282126366837</c:v>
                </c:pt>
                <c:pt idx="119">
                  <c:v>1.2721302409544348</c:v>
                </c:pt>
                <c:pt idx="120">
                  <c:v>0.7674753682999037</c:v>
                </c:pt>
                <c:pt idx="121">
                  <c:v>0.26244032722798555</c:v>
                </c:pt>
                <c:pt idx="122">
                  <c:v>-0.24274117214365298</c:v>
                </c:pt>
                <c:pt idx="123">
                  <c:v>-0.7478826806485499</c:v>
                </c:pt>
                <c:pt idx="124">
                  <c:v>-1.2528484931721717</c:v>
                </c:pt>
                <c:pt idx="125">
                  <c:v>-1.7575563424530611</c:v>
                </c:pt>
                <c:pt idx="126">
                  <c:v>-2.2619793039513496</c:v>
                </c:pt>
                <c:pt idx="127">
                  <c:v>-2.7661469434490931</c:v>
                </c:pt>
                <c:pt idx="128">
                  <c:v>-3.2701457657125954</c:v>
                </c:pt>
                <c:pt idx="129">
                  <c:v>-3.7741190433330907</c:v>
                </c:pt>
                <c:pt idx="130">
                  <c:v>-4.2782661190986362</c:v>
                </c:pt>
                <c:pt idx="131">
                  <c:v>-4.7828412827108346</c:v>
                </c:pt>
                <c:pt idx="132">
                  <c:v>-5.2881523236563277</c:v>
                </c:pt>
                <c:pt idx="133">
                  <c:v>-5.7945588572059217</c:v>
                </c:pt>
                <c:pt idx="134">
                  <c:v>-6.3024705107788384</c:v>
                </c:pt>
                <c:pt idx="135">
                  <c:v>-6.8123450443687403</c:v>
                </c:pt>
                <c:pt idx="136">
                  <c:v>-7.3246864625236352</c:v>
                </c:pt>
                <c:pt idx="137">
                  <c:v>-7.8400431576277025</c:v>
                </c:pt>
                <c:pt idx="138">
                  <c:v>-8.359006105975066</c:v>
                </c:pt>
                <c:pt idx="139">
                  <c:v>-8.8822071202574318</c:v>
                </c:pt>
                <c:pt idx="140">
                  <c:v>-9.4103171453434111</c:v>
                </c:pt>
                <c:pt idx="141">
                  <c:v>-9.9440445692198498</c:v>
                </c:pt>
                <c:pt idx="142">
                  <c:v>-10.484133508141326</c:v>
                </c:pt>
                <c:pt idx="143">
                  <c:v>-11.031362014750609</c:v>
                </c:pt>
                <c:pt idx="144">
                  <c:v>-11.586540150427746</c:v>
                </c:pt>
                <c:pt idx="145">
                  <c:v>-12.150507858578216</c:v>
                </c:pt>
                <c:pt idx="146">
                  <c:v>-12.724132574092128</c:v>
                </c:pt>
                <c:pt idx="147">
                  <c:v>-13.308306505838045</c:v>
                </c:pt>
                <c:pt idx="148">
                  <c:v>-13.903943533789578</c:v>
                </c:pt>
                <c:pt idx="149">
                  <c:v>-14.511975670139689</c:v>
                </c:pt>
                <c:pt idx="150">
                  <c:v>-15.133349044361799</c:v>
                </c:pt>
                <c:pt idx="151">
                  <c:v>-15.7690193853678</c:v>
                </c:pt>
                <c:pt idx="152">
                  <c:v>-16.419946989327482</c:v>
                </c:pt>
                <c:pt idx="153">
                  <c:v>-17.087091178858415</c:v>
                </c:pt>
                <c:pt idx="154">
                  <c:v>-17.771404277619009</c:v>
                </c:pt>
                <c:pt idx="155">
                  <c:v>-18.473825143168167</c:v>
                </c:pt>
                <c:pt idx="156">
                  <c:v>-19.195272319620976</c:v>
                </c:pt>
                <c:pt idx="157">
                  <c:v>-19.936636889416498</c:v>
                </c:pt>
                <c:pt idx="158">
                  <c:v>-20.698775119782724</c:v>
                </c:pt>
                <c:pt idx="159">
                  <c:v>-21.482501013643883</c:v>
                </c:pt>
                <c:pt idx="160">
                  <c:v>-22.288578886309864</c:v>
                </c:pt>
                <c:pt idx="161">
                  <c:v>-23.117716097951309</c:v>
                </c:pt>
                <c:pt idx="162">
                  <c:v>-23.970556077362794</c:v>
                </c:pt>
                <c:pt idx="163">
                  <c:v>-24.847671774696259</c:v>
                </c:pt>
                <c:pt idx="164">
                  <c:v>-25.749559679615672</c:v>
                </c:pt>
                <c:pt idx="165">
                  <c:v>-26.676634536607203</c:v>
                </c:pt>
                <c:pt idx="166">
                  <c:v>-27.629224880933123</c:v>
                </c:pt>
                <c:pt idx="167">
                  <c:v>-28.607569506857065</c:v>
                </c:pt>
                <c:pt idx="168">
                  <c:v>-29.611814964311947</c:v>
                </c:pt>
                <c:pt idx="169">
                  <c:v>-30.642014161128152</c:v>
                </c:pt>
                <c:pt idx="170">
                  <c:v>-31.698126125513888</c:v>
                </c:pt>
                <c:pt idx="171">
                  <c:v>-32.780016958025783</c:v>
                </c:pt>
                <c:pt idx="172">
                  <c:v>-33.887461974441592</c:v>
                </c:pt>
                <c:pt idx="173">
                  <c:v>-35.020149011592295</c:v>
                </c:pt>
                <c:pt idx="174">
                  <c:v>-36.177682838500225</c:v>
                </c:pt>
                <c:pt idx="175">
                  <c:v>-37.359590586370516</c:v>
                </c:pt>
                <c:pt idx="176">
                  <c:v>-38.565328084530861</c:v>
                </c:pt>
                <c:pt idx="177">
                  <c:v>-39.794286966641408</c:v>
                </c:pt>
                <c:pt idx="178">
                  <c:v>-41.045802393630247</c:v>
                </c:pt>
                <c:pt idx="179">
                  <c:v>-42.319161227745695</c:v>
                </c:pt>
                <c:pt idx="180">
                  <c:v>-43.613610486423475</c:v>
                </c:pt>
                <c:pt idx="181">
                  <c:v>-44.928365905473314</c:v>
                </c:pt>
                <c:pt idx="182">
                  <c:v>-46.262620448088981</c:v>
                </c:pt>
                <c:pt idx="183">
                  <c:v>-47.615552608735499</c:v>
                </c:pt>
                <c:pt idx="184">
                  <c:v>-48.986334378043395</c:v>
                </c:pt>
                <c:pt idx="185">
                  <c:v>-50.374138755295334</c:v>
                </c:pt>
                <c:pt idx="186">
                  <c:v>-51.778146717606489</c:v>
                </c:pt>
                <c:pt idx="187">
                  <c:v>-53.197553578217352</c:v>
                </c:pt>
                <c:pt idx="188">
                  <c:v>-54.631574689249987</c:v>
                </c:pt>
                <c:pt idx="189">
                  <c:v>-56.079450465831584</c:v>
                </c:pt>
                <c:pt idx="190">
                  <c:v>-57.540450727859309</c:v>
                </c:pt>
                <c:pt idx="191">
                  <c:v>-59.013878372323944</c:v>
                </c:pt>
                <c:pt idx="192">
                  <c:v>-60.499072402702048</c:v>
                </c:pt>
                <c:pt idx="193">
                  <c:v>-61.995410352335071</c:v>
                </c:pt>
                <c:pt idx="194">
                  <c:v>-63.502310146030055</c:v>
                </c:pt>
                <c:pt idx="195">
                  <c:v>-65.019231448511903</c:v>
                </c:pt>
                <c:pt idx="196">
                  <c:v>-66.545676550145672</c:v>
                </c:pt>
                <c:pt idx="197">
                  <c:v>-68.081190839895299</c:v>
                </c:pt>
                <c:pt idx="198">
                  <c:v>-69.62536291316637</c:v>
                </c:pt>
                <c:pt idx="199">
                  <c:v>-71.17782435841319</c:v>
                </c:pt>
                <c:pt idx="200">
                  <c:v>-72.738249261551701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124672"/>
        <c:axId val="328155520"/>
      </c:scatterChart>
      <c:valAx>
        <c:axId val="328124672"/>
        <c:scaling>
          <c:logBase val="10"/>
          <c:orientation val="minMax"/>
          <c:min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Frequency (Hz)</a:t>
                </a:r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8155520"/>
        <c:crosses val="autoZero"/>
        <c:crossBetween val="midCat"/>
      </c:valAx>
      <c:valAx>
        <c:axId val="328155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Gain (dB)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812467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793704328274311"/>
          <c:y val="2.5280789781945517E-2"/>
          <c:w val="0.26363125351320965"/>
          <c:h val="0.162921341276254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92784830285748E-2"/>
          <c:y val="7.3033707865168537E-2"/>
          <c:w val="0.86423910925786851"/>
          <c:h val="0.8567415730337079"/>
        </c:manualLayout>
      </c:layout>
      <c:scatterChart>
        <c:scatterStyle val="smoothMarker"/>
        <c:varyColors val="0"/>
        <c:ser>
          <c:idx val="3"/>
          <c:order val="0"/>
          <c:tx>
            <c:v> T(s) Phase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Compensation!$AH$64:$AH$264</c:f>
              <c:numCache>
                <c:formatCode>General</c:formatCode>
                <c:ptCount val="201"/>
                <c:pt idx="0">
                  <c:v>178.16397728522077</c:v>
                </c:pt>
                <c:pt idx="1">
                  <c:v>178.07748101980519</c:v>
                </c:pt>
                <c:pt idx="2">
                  <c:v>177.98691317034209</c:v>
                </c:pt>
                <c:pt idx="3">
                  <c:v>177.89208256815508</c:v>
                </c:pt>
                <c:pt idx="4">
                  <c:v>177.79278914141571</c:v>
                </c:pt>
                <c:pt idx="5">
                  <c:v>177.68882351125606</c:v>
                </c:pt>
                <c:pt idx="6">
                  <c:v>177.57996657115999</c:v>
                </c:pt>
                <c:pt idx="7">
                  <c:v>177.4659890491852</c:v>
                </c:pt>
                <c:pt idx="8">
                  <c:v>177.34665105259467</c:v>
                </c:pt>
                <c:pt idx="9">
                  <c:v>177.22170159451474</c:v>
                </c:pt>
                <c:pt idx="10">
                  <c:v>177.09087810228158</c:v>
                </c:pt>
                <c:pt idx="11">
                  <c:v>176.95390590719776</c:v>
                </c:pt>
                <c:pt idx="12">
                  <c:v>176.81049771548996</c:v>
                </c:pt>
                <c:pt idx="13">
                  <c:v>176.66035306034621</c:v>
                </c:pt>
                <c:pt idx="14">
                  <c:v>176.50315773501532</c:v>
                </c:pt>
                <c:pt idx="15">
                  <c:v>176.33858320707404</c:v>
                </c:pt>
                <c:pt idx="16">
                  <c:v>176.16628601411716</c:v>
                </c:pt>
                <c:pt idx="17">
                  <c:v>175.9859071412985</c:v>
                </c:pt>
                <c:pt idx="18">
                  <c:v>175.79707138135544</c:v>
                </c:pt>
                <c:pt idx="19">
                  <c:v>175.59938667799119</c:v>
                </c:pt>
                <c:pt idx="20">
                  <c:v>175.39244345376565</c:v>
                </c:pt>
                <c:pt idx="21">
                  <c:v>175.17581392397236</c:v>
                </c:pt>
                <c:pt idx="22">
                  <c:v>174.94905139835282</c:v>
                </c:pt>
                <c:pt idx="23">
                  <c:v>174.71168957293352</c:v>
                </c:pt>
                <c:pt idx="24">
                  <c:v>174.46324181476874</c:v>
                </c:pt>
                <c:pt idx="25">
                  <c:v>174.20320044294311</c:v>
                </c:pt>
                <c:pt idx="26">
                  <c:v>173.93103600983994</c:v>
                </c:pt>
                <c:pt idx="27">
                  <c:v>173.64619658742819</c:v>
                </c:pt>
                <c:pt idx="28">
                  <c:v>173.34810706416241</c:v>
                </c:pt>
                <c:pt idx="29">
                  <c:v>173.03616845904881</c:v>
                </c:pt>
                <c:pt idx="30">
                  <c:v>172.70975726051361</c:v>
                </c:pt>
                <c:pt idx="31">
                  <c:v>172.3682247989191</c:v>
                </c:pt>
                <c:pt idx="32">
                  <c:v>172.01089666293993</c:v>
                </c:pt>
                <c:pt idx="33">
                  <c:v>171.63707217152651</c:v>
                </c:pt>
                <c:pt idx="34">
                  <c:v>171.246023914869</c:v>
                </c:pt>
                <c:pt idx="35">
                  <c:v>170.83699737963866</c:v>
                </c:pt>
                <c:pt idx="36">
                  <c:v>170.40921067582786</c:v>
                </c:pt>
                <c:pt idx="37">
                  <c:v>169.96185438473799</c:v>
                </c:pt>
                <c:pt idx="38">
                  <c:v>169.49409155008735</c:v>
                </c:pt>
                <c:pt idx="39">
                  <c:v>169.00505783679412</c:v>
                </c:pt>
                <c:pt idx="40">
                  <c:v>168.4938618847529</c:v>
                </c:pt>
                <c:pt idx="41">
                  <c:v>167.95958588780073</c:v>
                </c:pt>
                <c:pt idx="42">
                  <c:v>167.40128643106453</c:v>
                </c:pt>
                <c:pt idx="43">
                  <c:v>166.81799562288944</c:v>
                </c:pt>
                <c:pt idx="44">
                  <c:v>166.20872256054551</c:v>
                </c:pt>
                <c:pt idx="45">
                  <c:v>165.57245517174826</c:v>
                </c:pt>
                <c:pt idx="46">
                  <c:v>164.90816247661792</c:v>
                </c:pt>
                <c:pt idx="47">
                  <c:v>164.21479731685704</c:v>
                </c:pt>
                <c:pt idx="48">
                  <c:v>163.49129960046537</c:v>
                </c:pt>
                <c:pt idx="49">
                  <c:v>162.73660011098607</c:v>
                </c:pt>
                <c:pt idx="50">
                  <c:v>161.94962492982475</c:v>
                </c:pt>
                <c:pt idx="51">
                  <c:v>161.12930051826493</c:v>
                </c:pt>
                <c:pt idx="52">
                  <c:v>160.27455950206448</c:v>
                </c:pt>
                <c:pt idx="53">
                  <c:v>159.38434719557304</c:v>
                </c:pt>
                <c:pt idx="54">
                  <c:v>158.457628893704</c:v>
                </c:pt>
                <c:pt idx="55">
                  <c:v>157.49339794843829</c:v>
                </c:pt>
                <c:pt idx="56">
                  <c:v>156.49068463138846</c:v>
                </c:pt>
                <c:pt idx="57">
                  <c:v>155.4485657649499</c:v>
                </c:pt>
                <c:pt idx="58">
                  <c:v>154.36617508146051</c:v>
                </c:pt>
                <c:pt idx="59">
                  <c:v>153.24271424243091</c:v>
                </c:pt>
                <c:pt idx="60">
                  <c:v>152.07746441840146</c:v>
                </c:pt>
                <c:pt idx="61">
                  <c:v>150.86979829465417</c:v>
                </c:pt>
                <c:pt idx="62">
                  <c:v>149.61919232960798</c:v>
                </c:pt>
                <c:pt idx="63">
                  <c:v>148.32523905230212</c:v>
                </c:pt>
                <c:pt idx="64">
                  <c:v>146.98765914456382</c:v>
                </c:pt>
                <c:pt idx="65">
                  <c:v>145.60631301426238</c:v>
                </c:pt>
                <c:pt idx="66">
                  <c:v>144.1812115310411</c:v>
                </c:pt>
                <c:pt idx="67">
                  <c:v>142.71252556802574</c:v>
                </c:pt>
                <c:pt idx="68">
                  <c:v>141.20059397545626</c:v>
                </c:pt>
                <c:pt idx="69">
                  <c:v>139.64592960831354</c:v>
                </c:pt>
                <c:pt idx="70">
                  <c:v>138.04922304293427</c:v>
                </c:pt>
                <c:pt idx="71">
                  <c:v>136.41134365001673</c:v>
                </c:pt>
                <c:pt idx="72">
                  <c:v>134.73333774504829</c:v>
                </c:pt>
                <c:pt idx="73">
                  <c:v>133.01642361266076</c:v>
                </c:pt>
                <c:pt idx="74">
                  <c:v>131.26198329771566</c:v>
                </c:pt>
                <c:pt idx="75">
                  <c:v>129.47155117038099</c:v>
                </c:pt>
                <c:pt idx="76">
                  <c:v>127.6467994004358</c:v>
                </c:pt>
                <c:pt idx="77">
                  <c:v>125.78952061142121</c:v>
                </c:pt>
                <c:pt idx="78">
                  <c:v>123.9016081202349</c:v>
                </c:pt>
                <c:pt idx="79">
                  <c:v>121.9850342940582</c:v>
                </c:pt>
                <c:pt idx="80">
                  <c:v>120.04182766531599</c:v>
                </c:pt>
                <c:pt idx="81">
                  <c:v>118.07404952882285</c:v>
                </c:pt>
                <c:pt idx="82">
                  <c:v>116.083770796659</c:v>
                </c:pt>
                <c:pt idx="83">
                  <c:v>114.07304990112804</c:v>
                </c:pt>
                <c:pt idx="84">
                  <c:v>112.04391251233295</c:v>
                </c:pt>
                <c:pt idx="85">
                  <c:v>109.99833377506916</c:v>
                </c:pt>
                <c:pt idx="86">
                  <c:v>107.93822367321681</c:v>
                </c:pt>
                <c:pt idx="87">
                  <c:v>105.86541600407389</c:v>
                </c:pt>
                <c:pt idx="88">
                  <c:v>103.78166129732206</c:v>
                </c:pt>
                <c:pt idx="89">
                  <c:v>101.68862385170361</c:v>
                </c:pt>
                <c:pt idx="90">
                  <c:v>99.58788289542413</c:v>
                </c:pt>
                <c:pt idx="91">
                  <c:v>97.480937711745867</c:v>
                </c:pt>
                <c:pt idx="92">
                  <c:v>95.369216416372439</c:v>
                </c:pt>
                <c:pt idx="93">
                  <c:v>93.254087933873919</c:v>
                </c:pt>
                <c:pt idx="94">
                  <c:v>91.136876601187112</c:v>
                </c:pt>
                <c:pt idx="95">
                  <c:v>89.018878730434878</c:v>
                </c:pt>
                <c:pt idx="96">
                  <c:v>86.901380393154724</c:v>
                </c:pt>
                <c:pt idx="97">
                  <c:v>84.785675644874246</c:v>
                </c:pt>
                <c:pt idx="98">
                  <c:v>82.673084393503515</c:v>
                </c:pt>
                <c:pt idx="99">
                  <c:v>80.564969127504341</c:v>
                </c:pt>
                <c:pt idx="100">
                  <c:v>78.462749760003462</c:v>
                </c:pt>
                <c:pt idx="101">
                  <c:v>76.367915912347215</c:v>
                </c:pt>
                <c:pt idx="102">
                  <c:v>74.282036053728476</c:v>
                </c:pt>
                <c:pt idx="103">
                  <c:v>72.206763030366375</c:v>
                </c:pt>
                <c:pt idx="104">
                  <c:v>70.143835655111559</c:v>
                </c:pt>
                <c:pt idx="105">
                  <c:v>68.095076181818555</c:v>
                </c:pt>
                <c:pt idx="106">
                  <c:v>66.062383652652571</c:v>
                </c:pt>
                <c:pt idx="107">
                  <c:v>64.047723273669959</c:v>
                </c:pt>
                <c:pt idx="108">
                  <c:v>62.053112136595402</c:v>
                </c:pt>
                <c:pt idx="109">
                  <c:v>60.080601754359321</c:v>
                </c:pt>
                <c:pt idx="110">
                  <c:v>58.132258006396142</c:v>
                </c:pt>
                <c:pt idx="111">
                  <c:v>56.210139189664631</c:v>
                </c:pt>
                <c:pt idx="112">
                  <c:v>54.316272937060617</c:v>
                </c:pt>
                <c:pt idx="113">
                  <c:v>52.452632792876585</c:v>
                </c:pt>
                <c:pt idx="114">
                  <c:v>50.62111522420463</c:v>
                </c:pt>
                <c:pt idx="115">
                  <c:v>48.823517799531203</c:v>
                </c:pt>
                <c:pt idx="116">
                  <c:v>47.06151918545433</c:v>
                </c:pt>
                <c:pt idx="117">
                  <c:v>45.336661505981908</c:v>
                </c:pt>
                <c:pt idx="118">
                  <c:v>43.650335484047162</c:v>
                </c:pt>
                <c:pt idx="119">
                  <c:v>42.003768650393937</c:v>
                </c:pt>
                <c:pt idx="120">
                  <c:v>40.398016769281014</c:v>
                </c:pt>
                <c:pt idx="121">
                  <c:v>38.833958501341954</c:v>
                </c:pt>
                <c:pt idx="122">
                  <c:v>37.312293207795079</c:v>
                </c:pt>
                <c:pt idx="123">
                  <c:v>35.833541701793365</c:v>
                </c:pt>
                <c:pt idx="124">
                  <c:v>34.398049674928217</c:v>
                </c:pt>
                <c:pt idx="125">
                  <c:v>33.005993470941121</c:v>
                </c:pt>
                <c:pt idx="126">
                  <c:v>31.657387844080006</c:v>
                </c:pt>
                <c:pt idx="127">
                  <c:v>30.352095324659018</c:v>
                </c:pt>
                <c:pt idx="128">
                  <c:v>29.089836816587962</c:v>
                </c:pt>
                <c:pt idx="129">
                  <c:v>27.870203067898132</c:v>
                </c:pt>
                <c:pt idx="130">
                  <c:v>26.692666682225763</c:v>
                </c:pt>
                <c:pt idx="131">
                  <c:v>25.556594373617258</c:v>
                </c:pt>
                <c:pt idx="132">
                  <c:v>24.461259205887728</c:v>
                </c:pt>
                <c:pt idx="133">
                  <c:v>23.405852598514684</c:v>
                </c:pt>
                <c:pt idx="134">
                  <c:v>22.389495921581585</c:v>
                </c:pt>
                <c:pt idx="135">
                  <c:v>21.411251540983187</c:v>
                </c:pt>
                <c:pt idx="136">
                  <c:v>20.470133210774236</c:v>
                </c:pt>
                <c:pt idx="137">
                  <c:v>19.565115741503405</c:v>
                </c:pt>
                <c:pt idx="138">
                  <c:v>18.695143901166375</c:v>
                </c:pt>
                <c:pt idx="139">
                  <c:v>17.85914052898201</c:v>
                </c:pt>
                <c:pt idx="140">
                  <c:v>17.056013861617544</c:v>
                </c:pt>
                <c:pt idx="141">
                  <c:v>16.284664087038436</c:v>
                </c:pt>
                <c:pt idx="142">
                  <c:v>15.543989153172049</c:v>
                </c:pt>
                <c:pt idx="143">
                  <c:v>14.832889867482862</c:v>
                </c:pt>
                <c:pt idx="144">
                  <c:v>14.150274329781212</c:v>
                </c:pt>
                <c:pt idx="145">
                  <c:v>13.495061744532876</c:v>
                </c:pt>
                <c:pt idx="146">
                  <c:v>12.866185661056193</c:v>
                </c:pt>
                <c:pt idx="147">
                  <c:v>12.262596690574611</c:v>
                </c:pt>
                <c:pt idx="148">
                  <c:v>11.683264748553682</c:v>
                </c:pt>
                <c:pt idx="149">
                  <c:v>11.127180869292118</c:v>
                </c:pt>
                <c:pt idx="150">
                  <c:v>10.593358637657019</c:v>
                </c:pt>
                <c:pt idx="151">
                  <c:v>10.080835280322333</c:v>
                </c:pt>
                <c:pt idx="152">
                  <c:v>9.5886724560679681</c:v>
                </c:pt>
                <c:pt idx="153">
                  <c:v>9.1159567817439608</c:v>
                </c:pt>
                <c:pt idx="154">
                  <c:v>8.6618001275138568</c:v>
                </c:pt>
                <c:pt idx="155">
                  <c:v>8.2253397120371403</c:v>
                </c:pt>
                <c:pt idx="156">
                  <c:v>7.8057380253895019</c:v>
                </c:pt>
                <c:pt idx="157">
                  <c:v>7.4021826047997763</c:v>
                </c:pt>
                <c:pt idx="158">
                  <c:v>7.0138856857277858</c:v>
                </c:pt>
                <c:pt idx="159">
                  <c:v>6.6400837484361546</c:v>
                </c:pt>
                <c:pt idx="160">
                  <c:v>6.2800369780344738</c:v>
                </c:pt>
                <c:pt idx="161">
                  <c:v>5.9330286539951373</c:v>
                </c:pt>
                <c:pt idx="162">
                  <c:v>5.5983644833598873</c:v>
                </c:pt>
                <c:pt idx="163">
                  <c:v>5.2753718902646938</c:v>
                </c:pt>
                <c:pt idx="164">
                  <c:v>4.9633992730099408</c:v>
                </c:pt>
                <c:pt idx="165">
                  <c:v>4.661815238673455</c:v>
                </c:pt>
                <c:pt idx="166">
                  <c:v>4.3700078242085567</c:v>
                </c:pt>
                <c:pt idx="167">
                  <c:v>4.0873837120722101</c:v>
                </c:pt>
                <c:pt idx="168">
                  <c:v>3.8133674476815145</c:v>
                </c:pt>
                <c:pt idx="169">
                  <c:v>3.5474006653971628</c:v>
                </c:pt>
                <c:pt idx="170">
                  <c:v>3.2889413292653273</c:v>
                </c:pt>
                <c:pt idx="171">
                  <c:v>3.0374629944176093</c:v>
                </c:pt>
                <c:pt idx="172">
                  <c:v>2.7924540948137633</c:v>
                </c:pt>
                <c:pt idx="173">
                  <c:v>2.5534172629273826</c:v>
                </c:pt>
                <c:pt idx="174">
                  <c:v>2.3198686869946812</c:v>
                </c:pt>
                <c:pt idx="175">
                  <c:v>2.091337511591064</c:v>
                </c:pt>
                <c:pt idx="176">
                  <c:v>1.8673652875465052</c:v>
                </c:pt>
                <c:pt idx="177">
                  <c:v>1.6475054775707179</c:v>
                </c:pt>
                <c:pt idx="178">
                  <c:v>1.4313230244241595</c:v>
                </c:pt>
                <c:pt idx="179">
                  <c:v>1.2183939890399529</c:v>
                </c:pt>
                <c:pt idx="180">
                  <c:v>1.0083052666725223</c:v>
                </c:pt>
                <c:pt idx="181">
                  <c:v>0.80065438991641713</c:v>
                </c:pt>
                <c:pt idx="182">
                  <c:v>0.59504942829565266</c:v>
                </c:pt>
                <c:pt idx="183">
                  <c:v>0.39110899506502506</c:v>
                </c:pt>
                <c:pt idx="184">
                  <c:v>0.18846237286831524</c:v>
                </c:pt>
                <c:pt idx="185">
                  <c:v>-1.3250229038362704E-2</c:v>
                </c:pt>
                <c:pt idx="186">
                  <c:v>-0.21437727221461955</c:v>
                </c:pt>
                <c:pt idx="187">
                  <c:v>-0.41525532624996231</c:v>
                </c:pt>
                <c:pt idx="188">
                  <c:v>-0.6162083298786456</c:v>
                </c:pt>
                <c:pt idx="189">
                  <c:v>-0.81754665918762726</c:v>
                </c:pt>
                <c:pt idx="190">
                  <c:v>-1.0195659853703489</c:v>
                </c:pt>
                <c:pt idx="191">
                  <c:v>-1.2225459039946429</c:v>
                </c:pt>
                <c:pt idx="192">
                  <c:v>-1.4267483176443534</c:v>
                </c:pt>
                <c:pt idx="193">
                  <c:v>-1.6324155541801133</c:v>
                </c:pt>
                <c:pt idx="194">
                  <c:v>-1.8397682039023948</c:v>
                </c:pt>
                <c:pt idx="195">
                  <c:v>-2.0490026607688208</c:v>
                </c:pt>
                <c:pt idx="196">
                  <c:v>-2.2602883557163693</c:v>
                </c:pt>
                <c:pt idx="197">
                  <c:v>-2.4737646743046469</c:v>
                </c:pt>
                <c:pt idx="198">
                  <c:v>-2.68953755656608</c:v>
                </c:pt>
                <c:pt idx="199">
                  <c:v>-2.9076757843973837</c:v>
                </c:pt>
                <c:pt idx="200">
                  <c:v>-3.1282069712955547</c:v>
                </c:pt>
              </c:numCache>
            </c:numRef>
          </c:yVal>
          <c:smooth val="1"/>
        </c:ser>
        <c:ser>
          <c:idx val="0"/>
          <c:order val="1"/>
          <c:tx>
            <c:v> Ti(s) Phase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Compensation!$Z$64:$Z$264</c:f>
              <c:numCache>
                <c:formatCode>General</c:formatCode>
                <c:ptCount val="201"/>
                <c:pt idx="0">
                  <c:v>-171.37987871563962</c:v>
                </c:pt>
                <c:pt idx="1">
                  <c:v>-170.98046399749515</c:v>
                </c:pt>
                <c:pt idx="2">
                  <c:v>-170.56321667015447</c:v>
                </c:pt>
                <c:pt idx="3">
                  <c:v>-170.1274376090048</c:v>
                </c:pt>
                <c:pt idx="4">
                  <c:v>-169.67241429052467</c:v>
                </c:pt>
                <c:pt idx="5">
                  <c:v>-169.19742271833906</c:v>
                </c:pt>
                <c:pt idx="6">
                  <c:v>-168.7017297382786</c:v>
                </c:pt>
                <c:pt idx="7">
                  <c:v>-168.18459578656874</c:v>
                </c:pt>
                <c:pt idx="8">
                  <c:v>-167.64527811727208</c:v>
                </c:pt>
                <c:pt idx="9">
                  <c:v>-167.08303455645964</c:v>
                </c:pt>
                <c:pt idx="10">
                  <c:v>-166.49712783105852</c:v>
                </c:pt>
                <c:pt idx="11">
                  <c:v>-165.88683051962497</c:v>
                </c:pt>
                <c:pt idx="12">
                  <c:v>-165.25143067010757</c:v>
                </c:pt>
                <c:pt idx="13">
                  <c:v>-164.590238125621</c:v>
                </c:pt>
                <c:pt idx="14">
                  <c:v>-163.90259159294106</c:v>
                </c:pt>
                <c:pt idx="15">
                  <c:v>-163.18786647944569</c:v>
                </c:pt>
                <c:pt idx="16">
                  <c:v>-162.44548351209372</c:v>
                </c:pt>
                <c:pt idx="17">
                  <c:v>-161.67491813637278</c:v>
                </c:pt>
                <c:pt idx="18">
                  <c:v>-160.87571067354011</c:v>
                </c:pt>
                <c:pt idx="19">
                  <c:v>-160.04747719068988</c:v>
                </c:pt>
                <c:pt idx="20">
                  <c:v>-159.18992101001766</c:v>
                </c:pt>
                <c:pt idx="21">
                  <c:v>-158.30284475123108</c:v>
                </c:pt>
                <c:pt idx="22">
                  <c:v>-157.38616276466718</c:v>
                </c:pt>
                <c:pt idx="23">
                  <c:v>-156.43991377303638</c:v>
                </c:pt>
                <c:pt idx="24">
                  <c:v>-155.46427349789059</c:v>
                </c:pt>
                <c:pt idx="25">
                  <c:v>-154.45956700444782</c:v>
                </c:pt>
                <c:pt idx="26">
                  <c:v>-153.4262804573616</c:v>
                </c:pt>
                <c:pt idx="27">
                  <c:v>-152.36507194288765</c:v>
                </c:pt>
                <c:pt idx="28">
                  <c:v>-151.27678098261646</c:v>
                </c:pt>
                <c:pt idx="29">
                  <c:v>-150.1624363437366</c:v>
                </c:pt>
                <c:pt idx="30">
                  <c:v>-149.02326174401045</c:v>
                </c:pt>
                <c:pt idx="31">
                  <c:v>-147.86067905943483</c:v>
                </c:pt>
                <c:pt idx="32">
                  <c:v>-146.67630867166429</c:v>
                </c:pt>
                <c:pt idx="33">
                  <c:v>-145.47196664251419</c:v>
                </c:pt>
                <c:pt idx="34">
                  <c:v>-144.24965847496159</c:v>
                </c:pt>
                <c:pt idx="35">
                  <c:v>-143.01156931314989</c:v>
                </c:pt>
                <c:pt idx="36">
                  <c:v>-141.76005054545539</c:v>
                </c:pt>
                <c:pt idx="37">
                  <c:v>-140.49760290031779</c:v>
                </c:pt>
                <c:pt idx="38">
                  <c:v>-139.22685625826443</c:v>
                </c:pt>
                <c:pt idx="39">
                  <c:v>-137.95054653797479</c:v>
                </c:pt>
                <c:pt idx="40">
                  <c:v>-136.67149014115716</c:v>
                </c:pt>
                <c:pt idx="41">
                  <c:v>-135.39255655208976</c:v>
                </c:pt>
                <c:pt idx="42">
                  <c:v>-134.1166397752738</c:v>
                </c:pt>
                <c:pt idx="43">
                  <c:v>-132.84662935241028</c:v>
                </c:pt>
                <c:pt idx="44">
                  <c:v>-131.58538172373574</c:v>
                </c:pt>
                <c:pt idx="45">
                  <c:v>-130.33569268689905</c:v>
                </c:pt>
                <c:pt idx="46">
                  <c:v>-129.10027166013617</c:v>
                </c:pt>
                <c:pt idx="47">
                  <c:v>-127.88171837916406</c:v>
                </c:pt>
                <c:pt idx="48">
                  <c:v>-126.68250255488383</c:v>
                </c:pt>
                <c:pt idx="49">
                  <c:v>-125.50494689913978</c:v>
                </c:pt>
                <c:pt idx="50">
                  <c:v>-124.35121379689312</c:v>
                </c:pt>
                <c:pt idx="51">
                  <c:v>-123.22329577362773</c:v>
                </c:pt>
                <c:pt idx="52">
                  <c:v>-122.12300978458573</c:v>
                </c:pt>
                <c:pt idx="53">
                  <c:v>-121.05199524416864</c:v>
                </c:pt>
                <c:pt idx="54">
                  <c:v>-120.01171562474985</c:v>
                </c:pt>
                <c:pt idx="55">
                  <c:v>-119.00346338773493</c:v>
                </c:pt>
                <c:pt idx="56">
                  <c:v>-118.02836796784597</c:v>
                </c:pt>
                <c:pt idx="57">
                  <c:v>-117.08740651483096</c:v>
                </c:pt>
                <c:pt idx="58">
                  <c:v>-116.18141710463615</c:v>
                </c:pt>
                <c:pt idx="59">
                  <c:v>-115.31111416346467</c:v>
                </c:pt>
                <c:pt idx="60">
                  <c:v>-114.4771059020425</c:v>
                </c:pt>
                <c:pt idx="61">
                  <c:v>-113.67991363321471</c:v>
                </c:pt>
                <c:pt idx="62">
                  <c:v>-112.91999294424787</c:v>
                </c:pt>
                <c:pt idx="63">
                  <c:v>-112.19775681813685</c:v>
                </c:pt>
                <c:pt idx="64">
                  <c:v>-111.51360095063225</c:v>
                </c:pt>
                <c:pt idx="65">
                  <c:v>-110.86793169996108</c:v>
                </c:pt>
                <c:pt idx="66">
                  <c:v>-110.26119734786457</c:v>
                </c:pt>
                <c:pt idx="67">
                  <c:v>-109.69392366450757</c:v>
                </c:pt>
                <c:pt idx="68">
                  <c:v>-109.16675518793367</c:v>
                </c:pt>
                <c:pt idx="69">
                  <c:v>-108.68050419955188</c:v>
                </c:pt>
                <c:pt idx="70">
                  <c:v>-108.2362101749939</c:v>
                </c:pt>
                <c:pt idx="71">
                  <c:v>-107.83521362987311</c:v>
                </c:pt>
                <c:pt idx="72">
                  <c:v>-107.47924994426629</c:v>
                </c:pt>
                <c:pt idx="73">
                  <c:v>-107.17057123020491</c:v>
                </c:pt>
                <c:pt idx="74">
                  <c:v>-106.91210808241806</c:v>
                </c:pt>
                <c:pt idx="75">
                  <c:v>-106.70768892961911</c:v>
                </c:pt>
                <c:pt idx="76">
                  <c:v>-106.56234407130144</c:v>
                </c:pt>
                <c:pt idx="77">
                  <c:v>-106.48273681018456</c:v>
                </c:pt>
                <c:pt idx="78">
                  <c:v>-106.47778989473909</c:v>
                </c:pt>
                <c:pt idx="79">
                  <c:v>-106.55962035904125</c:v>
                </c:pt>
                <c:pt idx="80">
                  <c:v>-106.74497677396307</c:v>
                </c:pt>
                <c:pt idx="81">
                  <c:v>-107.05752505779786</c:v>
                </c:pt>
                <c:pt idx="82">
                  <c:v>-107.53162897473949</c:v>
                </c:pt>
                <c:pt idx="83">
                  <c:v>-108.21889668020373</c:v>
                </c:pt>
                <c:pt idx="84">
                  <c:v>-109.20015544256147</c:v>
                </c:pt>
                <c:pt idx="85">
                  <c:v>-110.60885866640639</c:v>
                </c:pt>
                <c:pt idx="86">
                  <c:v>-112.68073724410056</c:v>
                </c:pt>
                <c:pt idx="87">
                  <c:v>-115.87042730704879</c:v>
                </c:pt>
                <c:pt idx="88">
                  <c:v>-121.16231060603289</c:v>
                </c:pt>
                <c:pt idx="89">
                  <c:v>-131.02287126028205</c:v>
                </c:pt>
                <c:pt idx="90">
                  <c:v>-152.31542294599268</c:v>
                </c:pt>
                <c:pt idx="91">
                  <c:v>165.62578882507901</c:v>
                </c:pt>
                <c:pt idx="92">
                  <c:v>128.73478341974462</c:v>
                </c:pt>
                <c:pt idx="93">
                  <c:v>111.565229655387</c:v>
                </c:pt>
                <c:pt idx="94">
                  <c:v>103.24977254407656</c:v>
                </c:pt>
                <c:pt idx="95">
                  <c:v>98.551505885585868</c:v>
                </c:pt>
                <c:pt idx="96">
                  <c:v>95.571565886992587</c:v>
                </c:pt>
                <c:pt idx="97">
                  <c:v>93.52003842162199</c:v>
                </c:pt>
                <c:pt idx="98">
                  <c:v>92.019211405277872</c:v>
                </c:pt>
                <c:pt idx="99">
                  <c:v>90.867871813260408</c:v>
                </c:pt>
                <c:pt idx="100">
                  <c:v>89.949603081834198</c:v>
                </c:pt>
                <c:pt idx="101">
                  <c:v>89.192571300747701</c:v>
                </c:pt>
                <c:pt idx="102">
                  <c:v>88.550113246633643</c:v>
                </c:pt>
                <c:pt idx="103">
                  <c:v>87.990614237047836</c:v>
                </c:pt>
                <c:pt idx="104">
                  <c:v>87.491887532331347</c:v>
                </c:pt>
                <c:pt idx="105">
                  <c:v>87.037886586050234</c:v>
                </c:pt>
                <c:pt idx="106">
                  <c:v>86.616695905940574</c:v>
                </c:pt>
                <c:pt idx="107">
                  <c:v>86.219256675974634</c:v>
                </c:pt>
                <c:pt idx="108">
                  <c:v>85.838532053955902</c:v>
                </c:pt>
                <c:pt idx="109">
                  <c:v>85.468944933226183</c:v>
                </c:pt>
                <c:pt idx="110">
                  <c:v>85.10598977885526</c:v>
                </c:pt>
                <c:pt idx="111">
                  <c:v>84.745958700998301</c:v>
                </c:pt>
                <c:pt idx="112">
                  <c:v>84.385744297271131</c:v>
                </c:pt>
                <c:pt idx="113">
                  <c:v>84.022695185826322</c:v>
                </c:pt>
                <c:pt idx="114">
                  <c:v>83.654508391426873</c:v>
                </c:pt>
                <c:pt idx="115">
                  <c:v>83.279147946304576</c:v>
                </c:pt>
                <c:pt idx="116">
                  <c:v>82.894782422771712</c:v>
                </c:pt>
                <c:pt idx="117">
                  <c:v>82.49973632414455</c:v>
                </c:pt>
                <c:pt idx="118">
                  <c:v>82.092451742883199</c:v>
                </c:pt>
                <c:pt idx="119">
                  <c:v>81.67145770629493</c:v>
                </c:pt>
                <c:pt idx="120">
                  <c:v>81.235345331061609</c:v>
                </c:pt>
                <c:pt idx="121">
                  <c:v>80.782747400574266</c:v>
                </c:pt>
                <c:pt idx="122">
                  <c:v>80.312321330020808</c:v>
                </c:pt>
                <c:pt idx="123">
                  <c:v>79.822734737267766</c:v>
                </c:pt>
                <c:pt idx="124">
                  <c:v>79.312653022209687</c:v>
                </c:pt>
                <c:pt idx="125">
                  <c:v>78.780728493474541</c:v>
                </c:pt>
                <c:pt idx="126">
                  <c:v>78.225590682976787</c:v>
                </c:pt>
                <c:pt idx="127">
                  <c:v>77.645837565501253</c:v>
                </c:pt>
                <c:pt idx="128">
                  <c:v>77.040027459157415</c:v>
                </c:pt>
                <c:pt idx="129">
                  <c:v>76.406671428151839</c:v>
                </c:pt>
                <c:pt idx="130">
                  <c:v>75.744226045568112</c:v>
                </c:pt>
                <c:pt idx="131">
                  <c:v>75.051086403505977</c:v>
                </c:pt>
                <c:pt idx="132">
                  <c:v>74.325579283213884</c:v>
                </c:pt>
                <c:pt idx="133">
                  <c:v>73.565956420550663</c:v>
                </c:pt>
                <c:pt idx="134">
                  <c:v>72.770387823800974</c:v>
                </c:pt>
                <c:pt idx="135">
                  <c:v>71.93695512299432</c:v>
                </c:pt>
                <c:pt idx="136">
                  <c:v>71.063644953870096</c:v>
                </c:pt>
                <c:pt idx="137">
                  <c:v>70.148342406968666</c:v>
                </c:pt>
                <c:pt idx="138">
                  <c:v>69.188824604626078</c:v>
                </c:pt>
                <c:pt idx="139">
                  <c:v>68.182754507697425</c:v>
                </c:pt>
                <c:pt idx="140">
                  <c:v>67.12767510164646</c:v>
                </c:pt>
                <c:pt idx="141">
                  <c:v>66.021004170495019</c:v>
                </c:pt>
                <c:pt idx="142">
                  <c:v>64.860029939549065</c:v>
                </c:pt>
                <c:pt idx="143">
                  <c:v>63.641907956568303</c:v>
                </c:pt>
                <c:pt idx="144">
                  <c:v>62.363659688958535</c:v>
                </c:pt>
                <c:pt idx="145">
                  <c:v>61.022173444402711</c:v>
                </c:pt>
                <c:pt idx="146">
                  <c:v>59.614208376402729</c:v>
                </c:pt>
                <c:pt idx="147">
                  <c:v>58.136402515718359</c:v>
                </c:pt>
                <c:pt idx="148">
                  <c:v>56.585285973071493</c:v>
                </c:pt>
                <c:pt idx="149">
                  <c:v>54.957300683974807</c:v>
                </c:pt>
                <c:pt idx="150">
                  <c:v>53.248828304628532</c:v>
                </c:pt>
                <c:pt idx="151">
                  <c:v>51.456228102971608</c:v>
                </c:pt>
                <c:pt idx="152">
                  <c:v>49.575886895935724</c:v>
                </c:pt>
                <c:pt idx="153">
                  <c:v>47.6042832247023</c:v>
                </c:pt>
                <c:pt idx="154">
                  <c:v>45.538067980566552</c:v>
                </c:pt>
                <c:pt idx="155">
                  <c:v>43.374163523226599</c:v>
                </c:pt>
                <c:pt idx="156">
                  <c:v>41.109882881615675</c:v>
                </c:pt>
                <c:pt idx="157">
                  <c:v>38.743069792130115</c:v>
                </c:pt>
                <c:pt idx="158">
                  <c:v>36.272259005573034</c:v>
                </c:pt>
                <c:pt idx="159">
                  <c:v>33.696854396490551</c:v>
                </c:pt>
                <c:pt idx="160">
                  <c:v>31.017319902265427</c:v>
                </c:pt>
                <c:pt idx="161">
                  <c:v>28.235375264696813</c:v>
                </c:pt>
                <c:pt idx="162">
                  <c:v>25.35418514778118</c:v>
                </c:pt>
                <c:pt idx="163">
                  <c:v>22.378526851270578</c:v>
                </c:pt>
                <c:pt idx="164">
                  <c:v>19.314919117692853</c:v>
                </c:pt>
                <c:pt idx="165">
                  <c:v>16.171693185176224</c:v>
                </c:pt>
                <c:pt idx="166">
                  <c:v>12.958988052663898</c:v>
                </c:pt>
                <c:pt idx="167">
                  <c:v>9.6886555225963775</c:v>
                </c:pt>
                <c:pt idx="168">
                  <c:v>6.3740671892308569</c:v>
                </c:pt>
                <c:pt idx="169">
                  <c:v>3.0298247450878648</c:v>
                </c:pt>
                <c:pt idx="170">
                  <c:v>-0.32861433831499198</c:v>
                </c:pt>
                <c:pt idx="171">
                  <c:v>-3.6853732567732038</c:v>
                </c:pt>
                <c:pt idx="172">
                  <c:v>-7.0246237116853365</c:v>
                </c:pt>
                <c:pt idx="173">
                  <c:v>-10.331050074111744</c:v>
                </c:pt>
                <c:pt idx="174">
                  <c:v>-13.590275320829448</c:v>
                </c:pt>
                <c:pt idx="175">
                  <c:v>-16.789219432047901</c:v>
                </c:pt>
                <c:pt idx="176">
                  <c:v>-19.916369787007824</c:v>
                </c:pt>
                <c:pt idx="177">
                  <c:v>-22.961953745394055</c:v>
                </c:pt>
                <c:pt idx="178">
                  <c:v>-25.91801410622935</c:v>
                </c:pt>
                <c:pt idx="179">
                  <c:v>-28.778396872614934</c:v>
                </c:pt>
                <c:pt idx="180">
                  <c:v>-31.538666744775327</c:v>
                </c:pt>
                <c:pt idx="181">
                  <c:v>-34.195968753717068</c:v>
                </c:pt>
                <c:pt idx="182">
                  <c:v>-36.748854757385914</c:v>
                </c:pt>
                <c:pt idx="183">
                  <c:v>-39.197091827010468</c:v>
                </c:pt>
                <c:pt idx="184">
                  <c:v>-41.541466642226169</c:v>
                </c:pt>
                <c:pt idx="185">
                  <c:v>-43.783596608397886</c:v>
                </c:pt>
                <c:pt idx="186">
                  <c:v>-45.925755056111143</c:v>
                </c:pt>
                <c:pt idx="187">
                  <c:v>-47.970714929756952</c:v>
                </c:pt>
                <c:pt idx="188">
                  <c:v>-49.921612989977632</c:v>
                </c:pt>
                <c:pt idx="189">
                  <c:v>-51.781834780326022</c:v>
                </c:pt>
                <c:pt idx="190">
                  <c:v>-53.554919393383386</c:v>
                </c:pt>
                <c:pt idx="191">
                  <c:v>-55.244482323880149</c:v>
                </c:pt>
                <c:pt idx="192">
                  <c:v>-56.854154310372635</c:v>
                </c:pt>
                <c:pt idx="193">
                  <c:v>-58.387533942180781</c:v>
                </c:pt>
                <c:pt idx="194">
                  <c:v>-59.848151858750199</c:v>
                </c:pt>
                <c:pt idx="195">
                  <c:v>-61.23944452645712</c:v>
                </c:pt>
                <c:pt idx="196">
                  <c:v>-62.564735792849845</c:v>
                </c:pt>
                <c:pt idx="197">
                  <c:v>-63.827224655255606</c:v>
                </c:pt>
                <c:pt idx="198">
                  <c:v>-65.029977916565088</c:v>
                </c:pt>
                <c:pt idx="199">
                  <c:v>-66.175926621952911</c:v>
                </c:pt>
                <c:pt idx="200">
                  <c:v>-67.267865368863141</c:v>
                </c:pt>
              </c:numCache>
            </c:numRef>
          </c:yVal>
          <c:smooth val="1"/>
        </c:ser>
        <c:ser>
          <c:idx val="4"/>
          <c:order val="2"/>
          <c:tx>
            <c:v> Tv(s) Phase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Compensation!$AD$64:$AD$264</c:f>
              <c:numCache>
                <c:formatCode>General</c:formatCode>
                <c:ptCount val="201"/>
                <c:pt idx="0">
                  <c:v>179.90484530153313</c:v>
                </c:pt>
                <c:pt idx="1">
                  <c:v>179.90035854826775</c:v>
                </c:pt>
                <c:pt idx="2">
                  <c:v>179.89566000729752</c:v>
                </c:pt>
                <c:pt idx="3">
                  <c:v>179.89073964792945</c:v>
                </c:pt>
                <c:pt idx="4">
                  <c:v>179.8855869594048</c:v>
                </c:pt>
                <c:pt idx="5">
                  <c:v>179.88019092718579</c:v>
                </c:pt>
                <c:pt idx="6">
                  <c:v>179.87454000796276</c:v>
                </c:pt>
                <c:pt idx="7">
                  <c:v>179.86862210329761</c:v>
                </c:pt>
                <c:pt idx="8">
                  <c:v>179.86242453181126</c:v>
                </c:pt>
                <c:pt idx="9">
                  <c:v>179.85593399981505</c:v>
                </c:pt>
                <c:pt idx="10">
                  <c:v>179.84913657027562</c:v>
                </c:pt>
                <c:pt idx="11">
                  <c:v>179.84201762999299</c:v>
                </c:pt>
                <c:pt idx="12">
                  <c:v>179.83456185485875</c:v>
                </c:pt>
                <c:pt idx="13">
                  <c:v>179.8267531730483</c:v>
                </c:pt>
                <c:pt idx="14">
                  <c:v>179.81857472598566</c:v>
                </c:pt>
                <c:pt idx="15">
                  <c:v>179.81000882690159</c:v>
                </c:pt>
                <c:pt idx="16">
                  <c:v>179.8010369167869</c:v>
                </c:pt>
                <c:pt idx="17">
                  <c:v>179.79163951751985</c:v>
                </c:pt>
                <c:pt idx="18">
                  <c:v>179.78179618192198</c:v>
                </c:pt>
                <c:pt idx="19">
                  <c:v>179.77148544046696</c:v>
                </c:pt>
                <c:pt idx="20">
                  <c:v>179.76068474433552</c:v>
                </c:pt>
                <c:pt idx="21">
                  <c:v>179.74937040447062</c:v>
                </c:pt>
                <c:pt idx="22">
                  <c:v>179.73751752624548</c:v>
                </c:pt>
                <c:pt idx="23">
                  <c:v>179.72509993930737</c:v>
                </c:pt>
                <c:pt idx="24">
                  <c:v>179.71209012210375</c:v>
                </c:pt>
                <c:pt idx="25">
                  <c:v>179.69845912053384</c:v>
                </c:pt>
                <c:pt idx="26">
                  <c:v>179.68417646009311</c:v>
                </c:pt>
                <c:pt idx="27">
                  <c:v>179.66921005079408</c:v>
                </c:pt>
                <c:pt idx="28">
                  <c:v>179.65352608404777</c:v>
                </c:pt>
                <c:pt idx="29">
                  <c:v>179.63708892057679</c:v>
                </c:pt>
                <c:pt idx="30">
                  <c:v>179.61986096829921</c:v>
                </c:pt>
                <c:pt idx="31">
                  <c:v>179.60180254897105</c:v>
                </c:pt>
                <c:pt idx="32">
                  <c:v>179.58287175219792</c:v>
                </c:pt>
                <c:pt idx="33">
                  <c:v>179.56302427522121</c:v>
                </c:pt>
                <c:pt idx="34">
                  <c:v>179.54221324664613</c:v>
                </c:pt>
                <c:pt idx="35">
                  <c:v>179.52038903199963</c:v>
                </c:pt>
                <c:pt idx="36">
                  <c:v>179.49749901868105</c:v>
                </c:pt>
                <c:pt idx="37">
                  <c:v>179.47348737748723</c:v>
                </c:pt>
                <c:pt idx="38">
                  <c:v>179.44829479744632</c:v>
                </c:pt>
                <c:pt idx="39">
                  <c:v>179.42185819016896</c:v>
                </c:pt>
                <c:pt idx="40">
                  <c:v>179.39411035930451</c:v>
                </c:pt>
                <c:pt idx="41">
                  <c:v>179.36497962995739</c:v>
                </c:pt>
                <c:pt idx="42">
                  <c:v>179.33438943204922</c:v>
                </c:pt>
                <c:pt idx="43">
                  <c:v>179.30225783057952</c:v>
                </c:pt>
                <c:pt idx="44">
                  <c:v>179.26849699450599</c:v>
                </c:pt>
                <c:pt idx="45">
                  <c:v>179.23301259449278</c:v>
                </c:pt>
                <c:pt idx="46">
                  <c:v>179.19570311800598</c:v>
                </c:pt>
                <c:pt idx="47">
                  <c:v>179.15645908810814</c:v>
                </c:pt>
                <c:pt idx="48">
                  <c:v>179.11516216972703</c:v>
                </c:pt>
                <c:pt idx="49">
                  <c:v>179.07168414405118</c:v>
                </c:pt>
                <c:pt idx="50">
                  <c:v>179.02588572789503</c:v>
                </c:pt>
                <c:pt idx="51">
                  <c:v>178.97761521021366</c:v>
                </c:pt>
                <c:pt idx="52">
                  <c:v>178.92670687221261</c:v>
                </c:pt>
                <c:pt idx="53">
                  <c:v>178.87297915040818</c:v>
                </c:pt>
                <c:pt idx="54">
                  <c:v>178.81623249318707</c:v>
                </c:pt>
                <c:pt idx="55">
                  <c:v>178.75624685041015</c:v>
                </c:pt>
                <c:pt idx="56">
                  <c:v>178.69277872178264</c:v>
                </c:pt>
                <c:pt idx="57">
                  <c:v>178.62555767223884</c:v>
                </c:pt>
                <c:pt idx="58">
                  <c:v>178.55428220036256</c:v>
                </c:pt>
                <c:pt idx="59">
                  <c:v>178.47861481739974</c:v>
                </c:pt>
                <c:pt idx="60">
                  <c:v>178.39817615770599</c:v>
                </c:pt>
                <c:pt idx="61">
                  <c:v>178.31253789376478</c:v>
                </c:pt>
                <c:pt idx="62">
                  <c:v>178.22121416642278</c:v>
                </c:pt>
                <c:pt idx="63">
                  <c:v>178.12365115844412</c:v>
                </c:pt>
                <c:pt idx="64">
                  <c:v>178.01921432946963</c:v>
                </c:pt>
                <c:pt idx="65">
                  <c:v>177.90717268242744</c:v>
                </c:pt>
                <c:pt idx="66">
                  <c:v>177.78667923019671</c:v>
                </c:pt>
                <c:pt idx="67">
                  <c:v>177.6567465547605</c:v>
                </c:pt>
                <c:pt idx="68">
                  <c:v>177.51621596652186</c:v>
                </c:pt>
                <c:pt idx="69">
                  <c:v>177.36371822997168</c:v>
                </c:pt>
                <c:pt idx="70">
                  <c:v>177.19762304901525</c:v>
                </c:pt>
                <c:pt idx="71">
                  <c:v>177.01597338578696</c:v>
                </c:pt>
                <c:pt idx="72">
                  <c:v>176.81639903918125</c:v>
                </c:pt>
                <c:pt idx="73">
                  <c:v>176.5960014419187</c:v>
                </c:pt>
                <c:pt idx="74">
                  <c:v>176.35119786880441</c:v>
                </c:pt>
                <c:pt idx="75">
                  <c:v>176.07750737879377</c:v>
                </c:pt>
                <c:pt idx="76">
                  <c:v>175.76925145042722</c:v>
                </c:pt>
                <c:pt idx="77">
                  <c:v>175.41912694770298</c:v>
                </c:pt>
                <c:pt idx="78">
                  <c:v>175.01758325024116</c:v>
                </c:pt>
                <c:pt idx="79">
                  <c:v>174.55189050862694</c:v>
                </c:pt>
                <c:pt idx="80">
                  <c:v>174.00470505794686</c:v>
                </c:pt>
                <c:pt idx="81">
                  <c:v>173.35178588663226</c:v>
                </c:pt>
                <c:pt idx="82">
                  <c:v>172.55821607510117</c:v>
                </c:pt>
                <c:pt idx="83">
                  <c:v>171.57185788549407</c:v>
                </c:pt>
                <c:pt idx="84">
                  <c:v>170.31137941041769</c:v>
                </c:pt>
                <c:pt idx="85">
                  <c:v>168.6428486901718</c:v>
                </c:pt>
                <c:pt idx="86">
                  <c:v>166.33008330344973</c:v>
                </c:pt>
                <c:pt idx="87">
                  <c:v>162.91802338899745</c:v>
                </c:pt>
                <c:pt idx="88">
                  <c:v>157.42189189515759</c:v>
                </c:pt>
                <c:pt idx="89">
                  <c:v>147.3748383413504</c:v>
                </c:pt>
                <c:pt idx="90">
                  <c:v>125.91321204215302</c:v>
                </c:pt>
                <c:pt idx="91">
                  <c:v>83.702460162535615</c:v>
                </c:pt>
                <c:pt idx="92">
                  <c:v>46.676324704250732</c:v>
                </c:pt>
                <c:pt idx="93">
                  <c:v>29.388227303912885</c:v>
                </c:pt>
                <c:pt idx="94">
                  <c:v>20.970596170757773</c:v>
                </c:pt>
                <c:pt idx="95">
                  <c:v>16.186338853162624</c:v>
                </c:pt>
                <c:pt idx="96">
                  <c:v>13.13643602261152</c:v>
                </c:pt>
                <c:pt idx="97">
                  <c:v>11.030848897718386</c:v>
                </c:pt>
                <c:pt idx="98">
                  <c:v>9.4917717951101395</c:v>
                </c:pt>
                <c:pt idx="99">
                  <c:v>8.3179293386684492</c:v>
                </c:pt>
                <c:pt idx="100">
                  <c:v>7.3928740780436044</c:v>
                </c:pt>
                <c:pt idx="101">
                  <c:v>6.6447729296777993</c:v>
                </c:pt>
                <c:pt idx="102">
                  <c:v>6.0269954962761574</c:v>
                </c:pt>
                <c:pt idx="103">
                  <c:v>5.5079922501788872</c:v>
                </c:pt>
                <c:pt idx="104">
                  <c:v>5.065674313182285</c:v>
                </c:pt>
                <c:pt idx="105">
                  <c:v>4.6841261386857127</c:v>
                </c:pt>
                <c:pt idx="106">
                  <c:v>4.351596863049366</c:v>
                </c:pt>
                <c:pt idx="107">
                  <c:v>4.05922648164929</c:v>
                </c:pt>
                <c:pt idx="108">
                  <c:v>3.8002117688903922</c:v>
                </c:pt>
                <c:pt idx="109">
                  <c:v>3.5692447356644266</c:v>
                </c:pt>
                <c:pt idx="110">
                  <c:v>3.3621252396449677</c:v>
                </c:pt>
                <c:pt idx="111">
                  <c:v>3.1754879163054852</c:v>
                </c:pt>
                <c:pt idx="112">
                  <c:v>3.0066059679543571</c:v>
                </c:pt>
                <c:pt idx="113">
                  <c:v>2.8532477382149182</c:v>
                </c:pt>
                <c:pt idx="114">
                  <c:v>2.7135702403540733</c:v>
                </c:pt>
                <c:pt idx="115">
                  <c:v>2.5860390077712623</c:v>
                </c:pt>
                <c:pt idx="116">
                  <c:v>2.4693669906124001</c:v>
                </c:pt>
                <c:pt idx="117">
                  <c:v>2.3624674325865556</c:v>
                </c:pt>
                <c:pt idx="118">
                  <c:v>2.2644171449785802</c:v>
                </c:pt>
                <c:pt idx="119">
                  <c:v>2.1744276068963586</c:v>
                </c:pt>
                <c:pt idx="120">
                  <c:v>2.0918220223413471</c:v>
                </c:pt>
                <c:pt idx="121">
                  <c:v>2.0160169580529441</c:v>
                </c:pt>
                <c:pt idx="122">
                  <c:v>1.946507537675501</c:v>
                </c:pt>
                <c:pt idx="123">
                  <c:v>1.8828554214796043</c:v>
                </c:pt>
                <c:pt idx="124">
                  <c:v>1.8246789860144474</c:v>
                </c:pt>
                <c:pt idx="125">
                  <c:v>1.7716452546512755</c:v>
                </c:pt>
                <c:pt idx="126">
                  <c:v>1.7234632317475871</c:v>
                </c:pt>
                <c:pt idx="127">
                  <c:v>1.6798783697088595</c:v>
                </c:pt>
                <c:pt idx="128">
                  <c:v>1.640667956309926</c:v>
                </c:pt>
                <c:pt idx="129">
                  <c:v>1.6056372540819552</c:v>
                </c:pt>
                <c:pt idx="130">
                  <c:v>1.5746162578442409</c:v>
                </c:pt>
                <c:pt idx="131">
                  <c:v>1.5474569630894166</c:v>
                </c:pt>
                <c:pt idx="132">
                  <c:v>1.5240310587602437</c:v>
                </c:pt>
                <c:pt idx="133">
                  <c:v>1.5042279743668132</c:v>
                </c:pt>
                <c:pt idx="134">
                  <c:v>1.4879532243945164</c:v>
                </c:pt>
                <c:pt idx="135">
                  <c:v>1.475127003322342</c:v>
                </c:pt>
                <c:pt idx="136">
                  <c:v>1.4656829928863431</c:v>
                </c:pt>
                <c:pt idx="137">
                  <c:v>1.4595673499246971</c:v>
                </c:pt>
                <c:pt idx="138">
                  <c:v>1.45673784857442</c:v>
                </c:pt>
                <c:pt idx="139">
                  <c:v>1.4571631550132906</c:v>
                </c:pt>
                <c:pt idx="140">
                  <c:v>1.4608222165606435</c:v>
                </c:pt>
                <c:pt idx="141">
                  <c:v>1.467703749925704</c:v>
                </c:pt>
                <c:pt idx="142">
                  <c:v>1.4778058158469207</c:v>
                </c:pt>
                <c:pt idx="143">
                  <c:v>1.4911354694013426</c:v>
                </c:pt>
                <c:pt idx="144">
                  <c:v>1.5077084769547184</c:v>
                </c:pt>
                <c:pt idx="145">
                  <c:v>1.5275490921359278</c:v>
                </c:pt>
                <c:pt idx="146">
                  <c:v>1.5506898844035106</c:v>
                </c:pt>
                <c:pt idx="147">
                  <c:v>1.5771716147655468</c:v>
                </c:pt>
                <c:pt idx="148">
                  <c:v>1.6070431540519223</c:v>
                </c:pt>
                <c:pt idx="149">
                  <c:v>1.6403614398471404</c:v>
                </c:pt>
                <c:pt idx="150">
                  <c:v>1.6771914687894025</c:v>
                </c:pt>
                <c:pt idx="151">
                  <c:v>1.7176063214506598</c:v>
                </c:pt>
                <c:pt idx="152">
                  <c:v>1.7616872174448019</c:v>
                </c:pt>
                <c:pt idx="153">
                  <c:v>1.8095235987751153</c:v>
                </c:pt>
                <c:pt idx="154">
                  <c:v>1.8612132397459504</c:v>
                </c:pt>
                <c:pt idx="155">
                  <c:v>1.916862382025414</c:v>
                </c:pt>
                <c:pt idx="156">
                  <c:v>1.976585893668414</c:v>
                </c:pt>
                <c:pt idx="157">
                  <c:v>2.0405074510959764</c:v>
                </c:pt>
                <c:pt idx="158">
                  <c:v>2.1087597431809115</c:v>
                </c:pt>
                <c:pt idx="159">
                  <c:v>2.1814846967158985</c:v>
                </c:pt>
                <c:pt idx="160">
                  <c:v>2.2588337226396504</c:v>
                </c:pt>
                <c:pt idx="161">
                  <c:v>2.3409679824726481</c:v>
                </c:pt>
                <c:pt idx="162">
                  <c:v>2.4280586744660297</c:v>
                </c:pt>
                <c:pt idx="163">
                  <c:v>2.5202873389987985</c:v>
                </c:pt>
                <c:pt idx="164">
                  <c:v>2.6178461827659305</c:v>
                </c:pt>
                <c:pt idx="165">
                  <c:v>2.7209384212869452</c:v>
                </c:pt>
                <c:pt idx="166">
                  <c:v>2.8297786392283513</c:v>
                </c:pt>
                <c:pt idx="167">
                  <c:v>2.9445931679722719</c:v>
                </c:pt>
                <c:pt idx="168">
                  <c:v>3.0656204797778628</c:v>
                </c:pt>
                <c:pt idx="169">
                  <c:v>3.1931115977683646</c:v>
                </c:pt>
                <c:pt idx="170">
                  <c:v>3.3273305208328736</c:v>
                </c:pt>
                <c:pt idx="171">
                  <c:v>3.4685546623543075</c:v>
                </c:pt>
                <c:pt idx="172">
                  <c:v>3.6170753014609147</c:v>
                </c:pt>
                <c:pt idx="173">
                  <c:v>3.7731980452439302</c:v>
                </c:pt>
                <c:pt idx="174">
                  <c:v>3.9372433000824287</c:v>
                </c:pt>
                <c:pt idx="175">
                  <c:v>4.109546749864279</c:v>
                </c:pt>
                <c:pt idx="176">
                  <c:v>4.2904598384832866</c:v>
                </c:pt>
                <c:pt idx="177">
                  <c:v>4.4803502535179405</c:v>
                </c:pt>
                <c:pt idx="178">
                  <c:v>4.6796024074533022</c:v>
                </c:pt>
                <c:pt idx="179">
                  <c:v>4.8886179121826956</c:v>
                </c:pt>
                <c:pt idx="180">
                  <c:v>5.1078160418129244</c:v>
                </c:pt>
                <c:pt idx="181">
                  <c:v>5.3376341779851941</c:v>
                </c:pt>
                <c:pt idx="182">
                  <c:v>5.5785282310058619</c:v>
                </c:pt>
                <c:pt idx="183">
                  <c:v>5.8309730290426955</c:v>
                </c:pt>
                <c:pt idx="184">
                  <c:v>6.0954626664742477</c:v>
                </c:pt>
                <c:pt idx="185">
                  <c:v>6.3725108011738314</c:v>
                </c:pt>
                <c:pt idx="186">
                  <c:v>6.6626508890465459</c:v>
                </c:pt>
                <c:pt idx="187">
                  <c:v>6.9664363425221438</c:v>
                </c:pt>
                <c:pt idx="188">
                  <c:v>7.2844405979104181</c:v>
                </c:pt>
                <c:pt idx="189">
                  <c:v>7.617257074564634</c:v>
                </c:pt>
                <c:pt idx="190">
                  <c:v>7.9654990066459561</c:v>
                </c:pt>
                <c:pt idx="191">
                  <c:v>8.3297991259623814</c:v>
                </c:pt>
                <c:pt idx="192">
                  <c:v>8.71080917185526</c:v>
                </c:pt>
                <c:pt idx="193">
                  <c:v>9.1091992014526113</c:v>
                </c:pt>
                <c:pt idx="194">
                  <c:v>9.5256566708250148</c:v>
                </c:pt>
                <c:pt idx="195">
                  <c:v>9.9608852546940909</c:v>
                </c:pt>
                <c:pt idx="196">
                  <c:v>10.415603369424474</c:v>
                </c:pt>
                <c:pt idx="197">
                  <c:v>10.890542361132788</c:v>
                </c:pt>
                <c:pt idx="198">
                  <c:v>11.386444317980875</c:v>
                </c:pt>
                <c:pt idx="199">
                  <c:v>11.904059463198536</c:v>
                </c:pt>
                <c:pt idx="200">
                  <c:v>12.444143083260315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579520"/>
        <c:axId val="431581440"/>
      </c:scatterChart>
      <c:valAx>
        <c:axId val="431579520"/>
        <c:scaling>
          <c:logBase val="10"/>
          <c:orientation val="minMax"/>
          <c:min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Frequency (Hz)</a:t>
                </a:r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1581440"/>
        <c:crosses val="autoZero"/>
        <c:crossBetween val="midCat"/>
      </c:valAx>
      <c:valAx>
        <c:axId val="431581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Phase (°)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157952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12064668387044"/>
          <c:y val="3.9325913587724616E-2"/>
          <c:w val="0.24407878426961335"/>
          <c:h val="0.15168534221683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808719137916309E-2"/>
          <c:y val="7.2829330875051626E-2"/>
          <c:w val="0.86468786208207971"/>
          <c:h val="0.85714520183714615"/>
        </c:manualLayout>
      </c:layout>
      <c:scatterChart>
        <c:scatterStyle val="smoothMarker"/>
        <c:varyColors val="0"/>
        <c:ser>
          <c:idx val="3"/>
          <c:order val="0"/>
          <c:tx>
            <c:v> T(s) Phase w/o Comp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Compensation!$AH$64:$AH$264</c:f>
              <c:numCache>
                <c:formatCode>General</c:formatCode>
                <c:ptCount val="201"/>
                <c:pt idx="0">
                  <c:v>178.16397728522077</c:v>
                </c:pt>
                <c:pt idx="1">
                  <c:v>178.07748101980519</c:v>
                </c:pt>
                <c:pt idx="2">
                  <c:v>177.98691317034209</c:v>
                </c:pt>
                <c:pt idx="3">
                  <c:v>177.89208256815508</c:v>
                </c:pt>
                <c:pt idx="4">
                  <c:v>177.79278914141571</c:v>
                </c:pt>
                <c:pt idx="5">
                  <c:v>177.68882351125606</c:v>
                </c:pt>
                <c:pt idx="6">
                  <c:v>177.57996657115999</c:v>
                </c:pt>
                <c:pt idx="7">
                  <c:v>177.4659890491852</c:v>
                </c:pt>
                <c:pt idx="8">
                  <c:v>177.34665105259467</c:v>
                </c:pt>
                <c:pt idx="9">
                  <c:v>177.22170159451474</c:v>
                </c:pt>
                <c:pt idx="10">
                  <c:v>177.09087810228158</c:v>
                </c:pt>
                <c:pt idx="11">
                  <c:v>176.95390590719776</c:v>
                </c:pt>
                <c:pt idx="12">
                  <c:v>176.81049771548996</c:v>
                </c:pt>
                <c:pt idx="13">
                  <c:v>176.66035306034621</c:v>
                </c:pt>
                <c:pt idx="14">
                  <c:v>176.50315773501532</c:v>
                </c:pt>
                <c:pt idx="15">
                  <c:v>176.33858320707404</c:v>
                </c:pt>
                <c:pt idx="16">
                  <c:v>176.16628601411716</c:v>
                </c:pt>
                <c:pt idx="17">
                  <c:v>175.9859071412985</c:v>
                </c:pt>
                <c:pt idx="18">
                  <c:v>175.79707138135544</c:v>
                </c:pt>
                <c:pt idx="19">
                  <c:v>175.59938667799119</c:v>
                </c:pt>
                <c:pt idx="20">
                  <c:v>175.39244345376565</c:v>
                </c:pt>
                <c:pt idx="21">
                  <c:v>175.17581392397236</c:v>
                </c:pt>
                <c:pt idx="22">
                  <c:v>174.94905139835282</c:v>
                </c:pt>
                <c:pt idx="23">
                  <c:v>174.71168957293352</c:v>
                </c:pt>
                <c:pt idx="24">
                  <c:v>174.46324181476874</c:v>
                </c:pt>
                <c:pt idx="25">
                  <c:v>174.20320044294311</c:v>
                </c:pt>
                <c:pt idx="26">
                  <c:v>173.93103600983994</c:v>
                </c:pt>
                <c:pt idx="27">
                  <c:v>173.64619658742819</c:v>
                </c:pt>
                <c:pt idx="28">
                  <c:v>173.34810706416241</c:v>
                </c:pt>
                <c:pt idx="29">
                  <c:v>173.03616845904881</c:v>
                </c:pt>
                <c:pt idx="30">
                  <c:v>172.70975726051361</c:v>
                </c:pt>
                <c:pt idx="31">
                  <c:v>172.3682247989191</c:v>
                </c:pt>
                <c:pt idx="32">
                  <c:v>172.01089666293993</c:v>
                </c:pt>
                <c:pt idx="33">
                  <c:v>171.63707217152651</c:v>
                </c:pt>
                <c:pt idx="34">
                  <c:v>171.246023914869</c:v>
                </c:pt>
                <c:pt idx="35">
                  <c:v>170.83699737963866</c:v>
                </c:pt>
                <c:pt idx="36">
                  <c:v>170.40921067582786</c:v>
                </c:pt>
                <c:pt idx="37">
                  <c:v>169.96185438473799</c:v>
                </c:pt>
                <c:pt idx="38">
                  <c:v>169.49409155008735</c:v>
                </c:pt>
                <c:pt idx="39">
                  <c:v>169.00505783679412</c:v>
                </c:pt>
                <c:pt idx="40">
                  <c:v>168.4938618847529</c:v>
                </c:pt>
                <c:pt idx="41">
                  <c:v>167.95958588780073</c:v>
                </c:pt>
                <c:pt idx="42">
                  <c:v>167.40128643106453</c:v>
                </c:pt>
                <c:pt idx="43">
                  <c:v>166.81799562288944</c:v>
                </c:pt>
                <c:pt idx="44">
                  <c:v>166.20872256054551</c:v>
                </c:pt>
                <c:pt idx="45">
                  <c:v>165.57245517174826</c:v>
                </c:pt>
                <c:pt idx="46">
                  <c:v>164.90816247661792</c:v>
                </c:pt>
                <c:pt idx="47">
                  <c:v>164.21479731685704</c:v>
                </c:pt>
                <c:pt idx="48">
                  <c:v>163.49129960046537</c:v>
                </c:pt>
                <c:pt idx="49">
                  <c:v>162.73660011098607</c:v>
                </c:pt>
                <c:pt idx="50">
                  <c:v>161.94962492982475</c:v>
                </c:pt>
                <c:pt idx="51">
                  <c:v>161.12930051826493</c:v>
                </c:pt>
                <c:pt idx="52">
                  <c:v>160.27455950206448</c:v>
                </c:pt>
                <c:pt idx="53">
                  <c:v>159.38434719557304</c:v>
                </c:pt>
                <c:pt idx="54">
                  <c:v>158.457628893704</c:v>
                </c:pt>
                <c:pt idx="55">
                  <c:v>157.49339794843829</c:v>
                </c:pt>
                <c:pt idx="56">
                  <c:v>156.49068463138846</c:v>
                </c:pt>
                <c:pt idx="57">
                  <c:v>155.4485657649499</c:v>
                </c:pt>
                <c:pt idx="58">
                  <c:v>154.36617508146051</c:v>
                </c:pt>
                <c:pt idx="59">
                  <c:v>153.24271424243091</c:v>
                </c:pt>
                <c:pt idx="60">
                  <c:v>152.07746441840146</c:v>
                </c:pt>
                <c:pt idx="61">
                  <c:v>150.86979829465417</c:v>
                </c:pt>
                <c:pt idx="62">
                  <c:v>149.61919232960798</c:v>
                </c:pt>
                <c:pt idx="63">
                  <c:v>148.32523905230212</c:v>
                </c:pt>
                <c:pt idx="64">
                  <c:v>146.98765914456382</c:v>
                </c:pt>
                <c:pt idx="65">
                  <c:v>145.60631301426238</c:v>
                </c:pt>
                <c:pt idx="66">
                  <c:v>144.1812115310411</c:v>
                </c:pt>
                <c:pt idx="67">
                  <c:v>142.71252556802574</c:v>
                </c:pt>
                <c:pt idx="68">
                  <c:v>141.20059397545626</c:v>
                </c:pt>
                <c:pt idx="69">
                  <c:v>139.64592960831354</c:v>
                </c:pt>
                <c:pt idx="70">
                  <c:v>138.04922304293427</c:v>
                </c:pt>
                <c:pt idx="71">
                  <c:v>136.41134365001673</c:v>
                </c:pt>
                <c:pt idx="72">
                  <c:v>134.73333774504829</c:v>
                </c:pt>
                <c:pt idx="73">
                  <c:v>133.01642361266076</c:v>
                </c:pt>
                <c:pt idx="74">
                  <c:v>131.26198329771566</c:v>
                </c:pt>
                <c:pt idx="75">
                  <c:v>129.47155117038099</c:v>
                </c:pt>
                <c:pt idx="76">
                  <c:v>127.6467994004358</c:v>
                </c:pt>
                <c:pt idx="77">
                  <c:v>125.78952061142121</c:v>
                </c:pt>
                <c:pt idx="78">
                  <c:v>123.9016081202349</c:v>
                </c:pt>
                <c:pt idx="79">
                  <c:v>121.9850342940582</c:v>
                </c:pt>
                <c:pt idx="80">
                  <c:v>120.04182766531599</c:v>
                </c:pt>
                <c:pt idx="81">
                  <c:v>118.07404952882285</c:v>
                </c:pt>
                <c:pt idx="82">
                  <c:v>116.083770796659</c:v>
                </c:pt>
                <c:pt idx="83">
                  <c:v>114.07304990112804</c:v>
                </c:pt>
                <c:pt idx="84">
                  <c:v>112.04391251233295</c:v>
                </c:pt>
                <c:pt idx="85">
                  <c:v>109.99833377506916</c:v>
                </c:pt>
                <c:pt idx="86">
                  <c:v>107.93822367321681</c:v>
                </c:pt>
                <c:pt idx="87">
                  <c:v>105.86541600407389</c:v>
                </c:pt>
                <c:pt idx="88">
                  <c:v>103.78166129732206</c:v>
                </c:pt>
                <c:pt idx="89">
                  <c:v>101.68862385170361</c:v>
                </c:pt>
                <c:pt idx="90">
                  <c:v>99.58788289542413</c:v>
                </c:pt>
                <c:pt idx="91">
                  <c:v>97.480937711745867</c:v>
                </c:pt>
                <c:pt idx="92">
                  <c:v>95.369216416372439</c:v>
                </c:pt>
                <c:pt idx="93">
                  <c:v>93.254087933873919</c:v>
                </c:pt>
                <c:pt idx="94">
                  <c:v>91.136876601187112</c:v>
                </c:pt>
                <c:pt idx="95">
                  <c:v>89.018878730434878</c:v>
                </c:pt>
                <c:pt idx="96">
                  <c:v>86.901380393154724</c:v>
                </c:pt>
                <c:pt idx="97">
                  <c:v>84.785675644874246</c:v>
                </c:pt>
                <c:pt idx="98">
                  <c:v>82.673084393503515</c:v>
                </c:pt>
                <c:pt idx="99">
                  <c:v>80.564969127504341</c:v>
                </c:pt>
                <c:pt idx="100">
                  <c:v>78.462749760003462</c:v>
                </c:pt>
                <c:pt idx="101">
                  <c:v>76.367915912347215</c:v>
                </c:pt>
                <c:pt idx="102">
                  <c:v>74.282036053728476</c:v>
                </c:pt>
                <c:pt idx="103">
                  <c:v>72.206763030366375</c:v>
                </c:pt>
                <c:pt idx="104">
                  <c:v>70.143835655111559</c:v>
                </c:pt>
                <c:pt idx="105">
                  <c:v>68.095076181818555</c:v>
                </c:pt>
                <c:pt idx="106">
                  <c:v>66.062383652652571</c:v>
                </c:pt>
                <c:pt idx="107">
                  <c:v>64.047723273669959</c:v>
                </c:pt>
                <c:pt idx="108">
                  <c:v>62.053112136595402</c:v>
                </c:pt>
                <c:pt idx="109">
                  <c:v>60.080601754359321</c:v>
                </c:pt>
                <c:pt idx="110">
                  <c:v>58.132258006396142</c:v>
                </c:pt>
                <c:pt idx="111">
                  <c:v>56.210139189664631</c:v>
                </c:pt>
                <c:pt idx="112">
                  <c:v>54.316272937060617</c:v>
                </c:pt>
                <c:pt idx="113">
                  <c:v>52.452632792876585</c:v>
                </c:pt>
                <c:pt idx="114">
                  <c:v>50.62111522420463</c:v>
                </c:pt>
                <c:pt idx="115">
                  <c:v>48.823517799531203</c:v>
                </c:pt>
                <c:pt idx="116">
                  <c:v>47.06151918545433</c:v>
                </c:pt>
                <c:pt idx="117">
                  <c:v>45.336661505981908</c:v>
                </c:pt>
                <c:pt idx="118">
                  <c:v>43.650335484047162</c:v>
                </c:pt>
                <c:pt idx="119">
                  <c:v>42.003768650393937</c:v>
                </c:pt>
                <c:pt idx="120">
                  <c:v>40.398016769281014</c:v>
                </c:pt>
                <c:pt idx="121">
                  <c:v>38.833958501341954</c:v>
                </c:pt>
                <c:pt idx="122">
                  <c:v>37.312293207795079</c:v>
                </c:pt>
                <c:pt idx="123">
                  <c:v>35.833541701793365</c:v>
                </c:pt>
                <c:pt idx="124">
                  <c:v>34.398049674928217</c:v>
                </c:pt>
                <c:pt idx="125">
                  <c:v>33.005993470941121</c:v>
                </c:pt>
                <c:pt idx="126">
                  <c:v>31.657387844080006</c:v>
                </c:pt>
                <c:pt idx="127">
                  <c:v>30.352095324659018</c:v>
                </c:pt>
                <c:pt idx="128">
                  <c:v>29.089836816587962</c:v>
                </c:pt>
                <c:pt idx="129">
                  <c:v>27.870203067898132</c:v>
                </c:pt>
                <c:pt idx="130">
                  <c:v>26.692666682225763</c:v>
                </c:pt>
                <c:pt idx="131">
                  <c:v>25.556594373617258</c:v>
                </c:pt>
                <c:pt idx="132">
                  <c:v>24.461259205887728</c:v>
                </c:pt>
                <c:pt idx="133">
                  <c:v>23.405852598514684</c:v>
                </c:pt>
                <c:pt idx="134">
                  <c:v>22.389495921581585</c:v>
                </c:pt>
                <c:pt idx="135">
                  <c:v>21.411251540983187</c:v>
                </c:pt>
                <c:pt idx="136">
                  <c:v>20.470133210774236</c:v>
                </c:pt>
                <c:pt idx="137">
                  <c:v>19.565115741503405</c:v>
                </c:pt>
                <c:pt idx="138">
                  <c:v>18.695143901166375</c:v>
                </c:pt>
                <c:pt idx="139">
                  <c:v>17.85914052898201</c:v>
                </c:pt>
                <c:pt idx="140">
                  <c:v>17.056013861617544</c:v>
                </c:pt>
                <c:pt idx="141">
                  <c:v>16.284664087038436</c:v>
                </c:pt>
                <c:pt idx="142">
                  <c:v>15.543989153172049</c:v>
                </c:pt>
                <c:pt idx="143">
                  <c:v>14.832889867482862</c:v>
                </c:pt>
                <c:pt idx="144">
                  <c:v>14.150274329781212</c:v>
                </c:pt>
                <c:pt idx="145">
                  <c:v>13.495061744532876</c:v>
                </c:pt>
                <c:pt idx="146">
                  <c:v>12.866185661056193</c:v>
                </c:pt>
                <c:pt idx="147">
                  <c:v>12.262596690574611</c:v>
                </c:pt>
                <c:pt idx="148">
                  <c:v>11.683264748553682</c:v>
                </c:pt>
                <c:pt idx="149">
                  <c:v>11.127180869292118</c:v>
                </c:pt>
                <c:pt idx="150">
                  <c:v>10.593358637657019</c:v>
                </c:pt>
                <c:pt idx="151">
                  <c:v>10.080835280322333</c:v>
                </c:pt>
                <c:pt idx="152">
                  <c:v>9.5886724560679681</c:v>
                </c:pt>
                <c:pt idx="153">
                  <c:v>9.1159567817439608</c:v>
                </c:pt>
                <c:pt idx="154">
                  <c:v>8.6618001275138568</c:v>
                </c:pt>
                <c:pt idx="155">
                  <c:v>8.2253397120371403</c:v>
                </c:pt>
                <c:pt idx="156">
                  <c:v>7.8057380253895019</c:v>
                </c:pt>
                <c:pt idx="157">
                  <c:v>7.4021826047997763</c:v>
                </c:pt>
                <c:pt idx="158">
                  <c:v>7.0138856857277858</c:v>
                </c:pt>
                <c:pt idx="159">
                  <c:v>6.6400837484361546</c:v>
                </c:pt>
                <c:pt idx="160">
                  <c:v>6.2800369780344738</c:v>
                </c:pt>
                <c:pt idx="161">
                  <c:v>5.9330286539951373</c:v>
                </c:pt>
                <c:pt idx="162">
                  <c:v>5.5983644833598873</c:v>
                </c:pt>
                <c:pt idx="163">
                  <c:v>5.2753718902646938</c:v>
                </c:pt>
                <c:pt idx="164">
                  <c:v>4.9633992730099408</c:v>
                </c:pt>
                <c:pt idx="165">
                  <c:v>4.661815238673455</c:v>
                </c:pt>
                <c:pt idx="166">
                  <c:v>4.3700078242085567</c:v>
                </c:pt>
                <c:pt idx="167">
                  <c:v>4.0873837120722101</c:v>
                </c:pt>
                <c:pt idx="168">
                  <c:v>3.8133674476815145</c:v>
                </c:pt>
                <c:pt idx="169">
                  <c:v>3.5474006653971628</c:v>
                </c:pt>
                <c:pt idx="170">
                  <c:v>3.2889413292653273</c:v>
                </c:pt>
                <c:pt idx="171">
                  <c:v>3.0374629944176093</c:v>
                </c:pt>
                <c:pt idx="172">
                  <c:v>2.7924540948137633</c:v>
                </c:pt>
                <c:pt idx="173">
                  <c:v>2.5534172629273826</c:v>
                </c:pt>
                <c:pt idx="174">
                  <c:v>2.3198686869946812</c:v>
                </c:pt>
                <c:pt idx="175">
                  <c:v>2.091337511591064</c:v>
                </c:pt>
                <c:pt idx="176">
                  <c:v>1.8673652875465052</c:v>
                </c:pt>
                <c:pt idx="177">
                  <c:v>1.6475054775707179</c:v>
                </c:pt>
                <c:pt idx="178">
                  <c:v>1.4313230244241595</c:v>
                </c:pt>
                <c:pt idx="179">
                  <c:v>1.2183939890399529</c:v>
                </c:pt>
                <c:pt idx="180">
                  <c:v>1.0083052666725223</c:v>
                </c:pt>
                <c:pt idx="181">
                  <c:v>0.80065438991641713</c:v>
                </c:pt>
                <c:pt idx="182">
                  <c:v>0.59504942829565266</c:v>
                </c:pt>
                <c:pt idx="183">
                  <c:v>0.39110899506502506</c:v>
                </c:pt>
                <c:pt idx="184">
                  <c:v>0.18846237286831524</c:v>
                </c:pt>
                <c:pt idx="185">
                  <c:v>-1.3250229038362704E-2</c:v>
                </c:pt>
                <c:pt idx="186">
                  <c:v>-0.21437727221461955</c:v>
                </c:pt>
                <c:pt idx="187">
                  <c:v>-0.41525532624996231</c:v>
                </c:pt>
                <c:pt idx="188">
                  <c:v>-0.6162083298786456</c:v>
                </c:pt>
                <c:pt idx="189">
                  <c:v>-0.81754665918762726</c:v>
                </c:pt>
                <c:pt idx="190">
                  <c:v>-1.0195659853703489</c:v>
                </c:pt>
                <c:pt idx="191">
                  <c:v>-1.2225459039946429</c:v>
                </c:pt>
                <c:pt idx="192">
                  <c:v>-1.4267483176443534</c:v>
                </c:pt>
                <c:pt idx="193">
                  <c:v>-1.6324155541801133</c:v>
                </c:pt>
                <c:pt idx="194">
                  <c:v>-1.8397682039023948</c:v>
                </c:pt>
                <c:pt idx="195">
                  <c:v>-2.0490026607688208</c:v>
                </c:pt>
                <c:pt idx="196">
                  <c:v>-2.2602883557163693</c:v>
                </c:pt>
                <c:pt idx="197">
                  <c:v>-2.4737646743046469</c:v>
                </c:pt>
                <c:pt idx="198">
                  <c:v>-2.68953755656608</c:v>
                </c:pt>
                <c:pt idx="199">
                  <c:v>-2.9076757843973837</c:v>
                </c:pt>
                <c:pt idx="200">
                  <c:v>-3.1282069712955547</c:v>
                </c:pt>
              </c:numCache>
            </c:numRef>
          </c:yVal>
          <c:smooth val="1"/>
        </c:ser>
        <c:ser>
          <c:idx val="0"/>
          <c:order val="1"/>
          <c:tx>
            <c:v>Phase of Compensation</c:v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Compensation!$AY$64:$AY$264</c:f>
              <c:numCache>
                <c:formatCode>General</c:formatCode>
                <c:ptCount val="201"/>
                <c:pt idx="0">
                  <c:v>97.075280251218885</c:v>
                </c:pt>
                <c:pt idx="1">
                  <c:v>97.100591416886303</c:v>
                </c:pt>
                <c:pt idx="2">
                  <c:v>97.140816397345901</c:v>
                </c:pt>
                <c:pt idx="3">
                  <c:v>97.196034245210413</c:v>
                </c:pt>
                <c:pt idx="4">
                  <c:v>97.266352914340857</c:v>
                </c:pt>
                <c:pt idx="5">
                  <c:v>97.351909319573878</c:v>
                </c:pt>
                <c:pt idx="6">
                  <c:v>97.452869401545868</c:v>
                </c:pt>
                <c:pt idx="7">
                  <c:v>97.56942819286995</c:v>
                </c:pt>
                <c:pt idx="8">
                  <c:v>97.701809880924088</c:v>
                </c:pt>
                <c:pt idx="9">
                  <c:v>97.850267861422537</c:v>
                </c:pt>
                <c:pt idx="10">
                  <c:v>98.015084775778803</c:v>
                </c:pt>
                <c:pt idx="11">
                  <c:v>98.196572523994575</c:v>
                </c:pt>
                <c:pt idx="12">
                  <c:v>98.395072243419961</c:v>
                </c:pt>
                <c:pt idx="13">
                  <c:v>98.610954242210937</c:v>
                </c:pt>
                <c:pt idx="14">
                  <c:v>98.844617874648023</c:v>
                </c:pt>
                <c:pt idx="15">
                  <c:v>99.096491343661043</c:v>
                </c:pt>
                <c:pt idx="16">
                  <c:v>99.367031413927563</c:v>
                </c:pt>
                <c:pt idx="17">
                  <c:v>99.656723016760111</c:v>
                </c:pt>
                <c:pt idx="18">
                  <c:v>99.966078725680916</c:v>
                </c:pt>
                <c:pt idx="19">
                  <c:v>100.29563807909574</c:v>
                </c:pt>
                <c:pt idx="20">
                  <c:v>100.64596672383924</c:v>
                </c:pt>
                <c:pt idx="21">
                  <c:v>101.01765535058911</c:v>
                </c:pt>
                <c:pt idx="22">
                  <c:v>101.41131838927795</c:v>
                </c:pt>
                <c:pt idx="23">
                  <c:v>101.82759242969921</c:v>
                </c:pt>
                <c:pt idx="24">
                  <c:v>102.26713432960406</c:v>
                </c:pt>
                <c:pt idx="25">
                  <c:v>102.73061896977256</c:v>
                </c:pt>
                <c:pt idx="26">
                  <c:v>103.21873661296267</c:v>
                </c:pt>
                <c:pt idx="27">
                  <c:v>103.73218982141759</c:v>
                </c:pt>
                <c:pt idx="28">
                  <c:v>104.27168988594154</c:v>
                </c:pt>
                <c:pt idx="29">
                  <c:v>104.83795271863896</c:v>
                </c:pt>
                <c:pt idx="30">
                  <c:v>105.43169416153603</c:v>
                </c:pt>
                <c:pt idx="31">
                  <c:v>106.05362466474342</c:v>
                </c:pt>
                <c:pt idx="32">
                  <c:v>106.70444329094799</c:v>
                </c:pt>
                <c:pt idx="33">
                  <c:v>107.38483100820663</c:v>
                </c:pt>
                <c:pt idx="34">
                  <c:v>108.09544324068561</c:v>
                </c:pt>
                <c:pt idx="35">
                  <c:v>108.83690165757665</c:v>
                </c:pt>
                <c:pt idx="36">
                  <c:v>109.60978519435778</c:v>
                </c:pt>
                <c:pt idx="37">
                  <c:v>110.41462031825976</c:v>
                </c:pt>
                <c:pt idx="38">
                  <c:v>111.25187057157976</c:v>
                </c:pt>
                <c:pt idx="39">
                  <c:v>112.12192545255904</c:v>
                </c:pt>
                <c:pt idx="40">
                  <c:v>113.02508872397993</c:v>
                </c:pt>
                <c:pt idx="41">
                  <c:v>113.9615662742012</c:v>
                </c:pt>
                <c:pt idx="42">
                  <c:v>114.93145369358891</c:v>
                </c:pt>
                <c:pt idx="43">
                  <c:v>115.93472377027159</c:v>
                </c:pt>
                <c:pt idx="44">
                  <c:v>116.97121415158605</c:v>
                </c:pt>
                <c:pt idx="45">
                  <c:v>118.04061545964589</c:v>
                </c:pt>
                <c:pt idx="46">
                  <c:v>119.14246018890653</c:v>
                </c:pt>
                <c:pt idx="47">
                  <c:v>120.27611274763993</c:v>
                </c:pt>
                <c:pt idx="48">
                  <c:v>121.44076103080096</c:v>
                </c:pt>
                <c:pt idx="49">
                  <c:v>122.63540992554073</c:v>
                </c:pt>
                <c:pt idx="50">
                  <c:v>123.85887714928973</c:v>
                </c:pt>
                <c:pt idx="51">
                  <c:v>125.10979180098029</c:v>
                </c:pt>
                <c:pt idx="52">
                  <c:v>126.3865959662202</c:v>
                </c:pt>
                <c:pt idx="53">
                  <c:v>127.68754965583059</c:v>
                </c:pt>
                <c:pt idx="54">
                  <c:v>129.01073927416323</c:v>
                </c:pt>
                <c:pt idx="55">
                  <c:v>130.35408971072926</c:v>
                </c:pt>
                <c:pt idx="56">
                  <c:v>131.71538002939212</c:v>
                </c:pt>
                <c:pt idx="57">
                  <c:v>133.09226259896758</c:v>
                </c:pt>
                <c:pt idx="58">
                  <c:v>134.48228537428406</c:v>
                </c:pt>
                <c:pt idx="59">
                  <c:v>135.88291690553072</c:v>
                </c:pt>
                <c:pt idx="60">
                  <c:v>137.29157353436716</c:v>
                </c:pt>
                <c:pt idx="61">
                  <c:v>138.70564813595988</c:v>
                </c:pt>
                <c:pt idx="62">
                  <c:v>140.12253969386683</c:v>
                </c:pt>
                <c:pt idx="63">
                  <c:v>141.53968295483895</c:v>
                </c:pt>
                <c:pt idx="64">
                  <c:v>142.95457740609049</c:v>
                </c:pt>
                <c:pt idx="65">
                  <c:v>144.36481484871265</c:v>
                </c:pt>
                <c:pt idx="66">
                  <c:v>145.76810490528612</c:v>
                </c:pt>
                <c:pt idx="67">
                  <c:v>147.16229789253086</c:v>
                </c:pt>
                <c:pt idx="68">
                  <c:v>148.54540460431946</c:v>
                </c:pt>
                <c:pt idx="69">
                  <c:v>149.91561267856531</c:v>
                </c:pt>
                <c:pt idx="70">
                  <c:v>151.27129935502535</c:v>
                </c:pt>
                <c:pt idx="71">
                  <c:v>152.6110405618289</c:v>
                </c:pt>
                <c:pt idx="72">
                  <c:v>153.93361638947911</c:v>
                </c:pt>
                <c:pt idx="73">
                  <c:v>155.23801311651911</c:v>
                </c:pt>
                <c:pt idx="74">
                  <c:v>156.5234220371344</c:v>
                </c:pt>
                <c:pt idx="75">
                  <c:v>157.7892354054967</c:v>
                </c:pt>
                <c:pt idx="76">
                  <c:v>159.03503985431092</c:v>
                </c:pt>
                <c:pt idx="77">
                  <c:v>160.26060766670241</c:v>
                </c:pt>
                <c:pt idx="78">
                  <c:v>161.46588628347499</c:v>
                </c:pt>
                <c:pt idx="79">
                  <c:v>162.65098641469103</c:v>
                </c:pt>
                <c:pt idx="80">
                  <c:v>163.81616909874478</c:v>
                </c:pt>
                <c:pt idx="81">
                  <c:v>164.96183201694024</c:v>
                </c:pt>
                <c:pt idx="82">
                  <c:v>166.0884953302766</c:v>
                </c:pt>
                <c:pt idx="83">
                  <c:v>167.19678726051595</c:v>
                </c:pt>
                <c:pt idx="84">
                  <c:v>168.28742959214901</c:v>
                </c:pt>
                <c:pt idx="85">
                  <c:v>169.36122322753874</c:v>
                </c:pt>
                <c:pt idx="86">
                  <c:v>170.41903388586505</c:v>
                </c:pt>
                <c:pt idx="87">
                  <c:v>171.46177799859089</c:v>
                </c:pt>
                <c:pt idx="88">
                  <c:v>172.49040882079279</c:v>
                </c:pt>
                <c:pt idx="89">
                  <c:v>173.50590274929027</c:v>
                </c:pt>
                <c:pt idx="90">
                  <c:v>174.50924581531797</c:v>
                </c:pt>
                <c:pt idx="91">
                  <c:v>175.50142030160706</c:v>
                </c:pt>
                <c:pt idx="92">
                  <c:v>176.48339142120713</c:v>
                </c:pt>
                <c:pt idx="93">
                  <c:v>177.45609398813332</c:v>
                </c:pt>
                <c:pt idx="94">
                  <c:v>178.42041900798182</c:v>
                </c:pt>
                <c:pt idx="95">
                  <c:v>179.37720011997644</c:v>
                </c:pt>
                <c:pt idx="96">
                  <c:v>-179.67280016946623</c:v>
                </c:pt>
                <c:pt idx="97">
                  <c:v>-178.72890450761471</c:v>
                </c:pt>
                <c:pt idx="98">
                  <c:v>-177.79053499739655</c:v>
                </c:pt>
                <c:pt idx="99">
                  <c:v>-176.8572277824768</c:v>
                </c:pt>
                <c:pt idx="100">
                  <c:v>-175.92864788758536</c:v>
                </c:pt>
                <c:pt idx="101">
                  <c:v>-175.00460425142481</c:v>
                </c:pt>
                <c:pt idx="102">
                  <c:v>-174.08506485024108</c:v>
                </c:pt>
                <c:pt idx="103">
                  <c:v>-173.17017176724457</c:v>
                </c:pt>
                <c:pt idx="104">
                  <c:v>-172.26025601772847</c:v>
                </c:pt>
                <c:pt idx="105">
                  <c:v>-171.35585189352653</c:v>
                </c:pt>
                <c:pt idx="106">
                  <c:v>-170.45771054549201</c:v>
                </c:pt>
                <c:pt idx="107">
                  <c:v>-169.56681248144488</c:v>
                </c:pt>
                <c:pt idx="108">
                  <c:v>-168.68437862251886</c:v>
                </c:pt>
                <c:pt idx="109">
                  <c:v>-167.81187953621321</c:v>
                </c:pt>
                <c:pt idx="110">
                  <c:v>-166.95104245308804</c:v>
                </c:pt>
                <c:pt idx="111">
                  <c:v>-166.10385567907477</c:v>
                </c:pt>
                <c:pt idx="112">
                  <c:v>-165.27257003953892</c:v>
                </c:pt>
                <c:pt idx="113">
                  <c:v>-164.45969703639869</c:v>
                </c:pt>
                <c:pt idx="114">
                  <c:v>-163.66800346646693</c:v>
                </c:pt>
                <c:pt idx="115">
                  <c:v>-162.90050233697184</c:v>
                </c:pt>
                <c:pt idx="116">
                  <c:v>-162.16044002037242</c:v>
                </c:pt>
                <c:pt idx="117">
                  <c:v>-161.45127971085157</c:v>
                </c:pt>
                <c:pt idx="118">
                  <c:v>-160.77668137317983</c:v>
                </c:pt>
                <c:pt idx="119">
                  <c:v>-160.14047850371514</c:v>
                </c:pt>
                <c:pt idx="120">
                  <c:v>-159.54665214482455</c:v>
                </c:pt>
                <c:pt idx="121">
                  <c:v>-158.99930269972066</c:v>
                </c:pt>
                <c:pt idx="122">
                  <c:v>-158.50262017674447</c:v>
                </c:pt>
                <c:pt idx="123">
                  <c:v>-158.06085354422123</c:v>
                </c:pt>
                <c:pt idx="124">
                  <c:v>-157.67827989476905</c:v>
                </c:pt>
                <c:pt idx="125">
                  <c:v>-157.3591740997152</c:v>
                </c:pt>
                <c:pt idx="126">
                  <c:v>-157.10777958088534</c:v>
                </c:pt>
                <c:pt idx="127">
                  <c:v>-156.92828074224687</c:v>
                </c:pt>
                <c:pt idx="128">
                  <c:v>-156.82477749350667</c:v>
                </c:pt>
                <c:pt idx="129">
                  <c:v>-156.80126216938859</c:v>
                </c:pt>
                <c:pt idx="130">
                  <c:v>-156.86159901045176</c:v>
                </c:pt>
                <c:pt idx="131">
                  <c:v>-157.00950623259837</c:v>
                </c:pt>
                <c:pt idx="132">
                  <c:v>-157.24854058095283</c:v>
                </c:pt>
                <c:pt idx="133">
                  <c:v>-157.58208414652967</c:v>
                </c:pt>
                <c:pt idx="134">
                  <c:v>-158.01333312644502</c:v>
                </c:pt>
                <c:pt idx="135">
                  <c:v>-158.54528813406478</c:v>
                </c:pt>
                <c:pt idx="136">
                  <c:v>-159.18074561640751</c:v>
                </c:pt>
                <c:pt idx="137">
                  <c:v>-159.92228991275661</c:v>
                </c:pt>
                <c:pt idx="138">
                  <c:v>-160.77228548990598</c:v>
                </c:pt>
                <c:pt idx="139">
                  <c:v>-161.73286891399249</c:v>
                </c:pt>
                <c:pt idx="140">
                  <c:v>-162.80594016386738</c:v>
                </c:pt>
                <c:pt idx="141">
                  <c:v>-163.99315295365415</c:v>
                </c:pt>
                <c:pt idx="142">
                  <c:v>-165.29590380939101</c:v>
                </c:pt>
                <c:pt idx="143">
                  <c:v>-166.71531973342348</c:v>
                </c:pt>
                <c:pt idx="144">
                  <c:v>-168.25224438741063</c:v>
                </c:pt>
                <c:pt idx="145">
                  <c:v>-169.90722282741598</c:v>
                </c:pt>
                <c:pt idx="146">
                  <c:v>-171.6804849295321</c:v>
                </c:pt>
                <c:pt idx="147">
                  <c:v>-173.57192774878669</c:v>
                </c:pt>
                <c:pt idx="148">
                  <c:v>-175.58109715449007</c:v>
                </c:pt>
                <c:pt idx="149">
                  <c:v>-177.70716917849811</c:v>
                </c:pt>
                <c:pt idx="150">
                  <c:v>-179.94893159571839</c:v>
                </c:pt>
                <c:pt idx="151">
                  <c:v>177.69523367468014</c:v>
                </c:pt>
                <c:pt idx="152">
                  <c:v>175.22736670659557</c:v>
                </c:pt>
                <c:pt idx="153">
                  <c:v>172.64994356935333</c:v>
                </c:pt>
                <c:pt idx="154">
                  <c:v>169.96588751056814</c:v>
                </c:pt>
                <c:pt idx="155">
                  <c:v>167.17857664699528</c:v>
                </c:pt>
                <c:pt idx="156">
                  <c:v>164.29184752641234</c:v>
                </c:pt>
                <c:pt idx="157">
                  <c:v>161.30999398206555</c:v>
                </c:pt>
                <c:pt idx="158">
                  <c:v>158.23776078114088</c:v>
                </c:pt>
                <c:pt idx="159">
                  <c:v>155.08033166773038</c:v>
                </c:pt>
                <c:pt idx="160">
                  <c:v>151.84331151587921</c:v>
                </c:pt>
                <c:pt idx="161">
                  <c:v>148.53270243622688</c:v>
                </c:pt>
                <c:pt idx="162">
                  <c:v>145.15487381705159</c:v>
                </c:pt>
                <c:pt idx="163">
                  <c:v>141.71652642393821</c:v>
                </c:pt>
                <c:pt idx="164">
                  <c:v>138.22465082862573</c:v>
                </c:pt>
                <c:pt idx="165">
                  <c:v>134.68648058395644</c:v>
                </c:pt>
                <c:pt idx="166">
                  <c:v>131.1094407051304</c:v>
                </c:pt>
                <c:pt idx="167">
                  <c:v>127.50109215451829</c:v>
                </c:pt>
                <c:pt idx="168">
                  <c:v>123.86907315424874</c:v>
                </c:pt>
                <c:pt idx="169">
                  <c:v>120.22103826338824</c:v>
                </c:pt>
                <c:pt idx="170">
                  <c:v>116.56459624970446</c:v>
                </c:pt>
                <c:pt idx="171">
                  <c:v>112.90724785452035</c:v>
                </c:pt>
                <c:pt idx="172">
                  <c:v>109.25632458765411</c:v>
                </c:pt>
                <c:pt idx="173">
                  <c:v>105.61892969340168</c:v>
                </c:pt>
                <c:pt idx="174">
                  <c:v>102.00188239458029</c:v>
                </c:pt>
                <c:pt idx="175">
                  <c:v>98.411666448624786</c:v>
                </c:pt>
                <c:pt idx="176">
                  <c:v>94.854383938511276</c:v>
                </c:pt>
                <c:pt idx="177">
                  <c:v>91.335715075708407</c:v>
                </c:pt>
                <c:pt idx="178">
                  <c:v>87.860884618456311</c:v>
                </c:pt>
                <c:pt idx="179">
                  <c:v>84.434635314761124</c:v>
                </c:pt>
                <c:pt idx="180">
                  <c:v>81.061208575221471</c:v>
                </c:pt>
                <c:pt idx="181">
                  <c:v>77.744332376415329</c:v>
                </c:pt>
                <c:pt idx="182">
                  <c:v>74.487216201185035</c:v>
                </c:pt>
                <c:pt idx="183">
                  <c:v>71.292552646578017</c:v>
                </c:pt>
                <c:pt idx="184">
                  <c:v>68.16252518079142</c:v>
                </c:pt>
                <c:pt idx="185">
                  <c:v>65.098821412180712</c:v>
                </c:pt>
                <c:pt idx="186">
                  <c:v>62.102651148979703</c:v>
                </c:pt>
                <c:pt idx="187">
                  <c:v>59.17476847827345</c:v>
                </c:pt>
                <c:pt idx="188">
                  <c:v>56.315497075320309</c:v>
                </c:pt>
                <c:pt idx="189">
                  <c:v>53.524757966230126</c:v>
                </c:pt>
                <c:pt idx="190">
                  <c:v>50.802099003929101</c:v>
                </c:pt>
                <c:pt idx="191">
                  <c:v>48.146725374040614</c:v>
                </c:pt>
                <c:pt idx="192">
                  <c:v>45.557530518566608</c:v>
                </c:pt>
                <c:pt idx="193">
                  <c:v>43.033126945811119</c:v>
                </c:pt>
                <c:pt idx="194">
                  <c:v>40.571876480223324</c:v>
                </c:pt>
                <c:pt idx="195">
                  <c:v>38.171919591656433</c:v>
                </c:pt>
                <c:pt idx="196">
                  <c:v>35.831203526700932</c:v>
                </c:pt>
                <c:pt idx="197">
                  <c:v>33.547509042774124</c:v>
                </c:pt>
                <c:pt idx="198">
                  <c:v>31.318475616742376</c:v>
                </c:pt>
                <c:pt idx="199">
                  <c:v>29.141625063057347</c:v>
                </c:pt>
                <c:pt idx="200">
                  <c:v>27.014383551068534</c:v>
                </c:pt>
              </c:numCache>
            </c:numRef>
          </c:yVal>
          <c:smooth val="1"/>
        </c:ser>
        <c:ser>
          <c:idx val="1"/>
          <c:order val="2"/>
          <c:tx>
            <c:v> T(s) with Comp.</c:v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Compensation!$BF$64:$BF$264</c:f>
              <c:numCache>
                <c:formatCode>General</c:formatCode>
                <c:ptCount val="201"/>
                <c:pt idx="0">
                  <c:v>95.239257536439666</c:v>
                </c:pt>
                <c:pt idx="1">
                  <c:v>95.178072436691551</c:v>
                </c:pt>
                <c:pt idx="2">
                  <c:v>95.127729567687993</c:v>
                </c:pt>
                <c:pt idx="3">
                  <c:v>95.08811681336546</c:v>
                </c:pt>
                <c:pt idx="4">
                  <c:v>95.059142055756652</c:v>
                </c:pt>
                <c:pt idx="5">
                  <c:v>95.040732830829924</c:v>
                </c:pt>
                <c:pt idx="6">
                  <c:v>95.032835972705854</c:v>
                </c:pt>
                <c:pt idx="7">
                  <c:v>95.035417242055118</c:v>
                </c:pt>
                <c:pt idx="8">
                  <c:v>95.048460933518768</c:v>
                </c:pt>
                <c:pt idx="9">
                  <c:v>95.071969455937278</c:v>
                </c:pt>
                <c:pt idx="10">
                  <c:v>95.105962878060367</c:v>
                </c:pt>
                <c:pt idx="11">
                  <c:v>95.150478431192283</c:v>
                </c:pt>
                <c:pt idx="12">
                  <c:v>95.205569958909919</c:v>
                </c:pt>
                <c:pt idx="13">
                  <c:v>95.271307302557133</c:v>
                </c:pt>
                <c:pt idx="14">
                  <c:v>95.347775609663401</c:v>
                </c:pt>
                <c:pt idx="15">
                  <c:v>95.435074550735081</c:v>
                </c:pt>
                <c:pt idx="16">
                  <c:v>95.533317428044739</c:v>
                </c:pt>
                <c:pt idx="17">
                  <c:v>95.642630158058637</c:v>
                </c:pt>
                <c:pt idx="18">
                  <c:v>95.763150107036353</c:v>
                </c:pt>
                <c:pt idx="19">
                  <c:v>95.895024757086972</c:v>
                </c:pt>
                <c:pt idx="20">
                  <c:v>96.038410177604888</c:v>
                </c:pt>
                <c:pt idx="21">
                  <c:v>96.193469274561437</c:v>
                </c:pt>
                <c:pt idx="22">
                  <c:v>96.360369787630816</c:v>
                </c:pt>
                <c:pt idx="23">
                  <c:v>96.539282002632731</c:v>
                </c:pt>
                <c:pt idx="24">
                  <c:v>96.730376144372826</c:v>
                </c:pt>
                <c:pt idx="25">
                  <c:v>96.933819412715579</c:v>
                </c:pt>
                <c:pt idx="26">
                  <c:v>97.149772622802587</c:v>
                </c:pt>
                <c:pt idx="27">
                  <c:v>97.378386408845813</c:v>
                </c:pt>
                <c:pt idx="28">
                  <c:v>97.619796950103932</c:v>
                </c:pt>
                <c:pt idx="29">
                  <c:v>97.874121177687798</c:v>
                </c:pt>
                <c:pt idx="30">
                  <c:v>98.141451422049698</c:v>
                </c:pt>
                <c:pt idx="31">
                  <c:v>98.421849463662483</c:v>
                </c:pt>
                <c:pt idx="32">
                  <c:v>98.71533995388792</c:v>
                </c:pt>
                <c:pt idx="33">
                  <c:v>99.021903179733116</c:v>
                </c:pt>
                <c:pt idx="34">
                  <c:v>99.341467155554597</c:v>
                </c:pt>
                <c:pt idx="35">
                  <c:v>99.673899037215421</c:v>
                </c:pt>
                <c:pt idx="36">
                  <c:v>100.01899587018559</c:v>
                </c:pt>
                <c:pt idx="37">
                  <c:v>100.37647470299775</c:v>
                </c:pt>
                <c:pt idx="38">
                  <c:v>100.74596212166705</c:v>
                </c:pt>
                <c:pt idx="39">
                  <c:v>101.12698328935326</c:v>
                </c:pt>
                <c:pt idx="40">
                  <c:v>101.51895060873279</c:v>
                </c:pt>
                <c:pt idx="41">
                  <c:v>101.9211521620019</c:v>
                </c:pt>
                <c:pt idx="42">
                  <c:v>102.33274012465333</c:v>
                </c:pt>
                <c:pt idx="43">
                  <c:v>102.7527193931611</c:v>
                </c:pt>
                <c:pt idx="44">
                  <c:v>103.17993671213161</c:v>
                </c:pt>
                <c:pt idx="45">
                  <c:v>103.61307063139401</c:v>
                </c:pt>
                <c:pt idx="46">
                  <c:v>104.05062266552457</c:v>
                </c:pt>
                <c:pt idx="47">
                  <c:v>104.49091006449696</c:v>
                </c:pt>
                <c:pt idx="48">
                  <c:v>104.93206063126641</c:v>
                </c:pt>
                <c:pt idx="49">
                  <c:v>105.37201003652679</c:v>
                </c:pt>
                <c:pt idx="50">
                  <c:v>105.80850207911453</c:v>
                </c:pt>
                <c:pt idx="51">
                  <c:v>106.23909231924517</c:v>
                </c:pt>
                <c:pt idx="52">
                  <c:v>106.66115546828475</c:v>
                </c:pt>
                <c:pt idx="53">
                  <c:v>107.07189685140366</c:v>
                </c:pt>
                <c:pt idx="54">
                  <c:v>107.46836816786733</c:v>
                </c:pt>
                <c:pt idx="55">
                  <c:v>107.8474876591676</c:v>
                </c:pt>
                <c:pt idx="56">
                  <c:v>108.20606466078046</c:v>
                </c:pt>
                <c:pt idx="57">
                  <c:v>108.54082836391738</c:v>
                </c:pt>
                <c:pt idx="58">
                  <c:v>108.84846045574469</c:v>
                </c:pt>
                <c:pt idx="59">
                  <c:v>109.12563114796151</c:v>
                </c:pt>
                <c:pt idx="60">
                  <c:v>109.36903795276854</c:v>
                </c:pt>
                <c:pt idx="61">
                  <c:v>109.57544643061397</c:v>
                </c:pt>
                <c:pt idx="62">
                  <c:v>109.74173202347471</c:v>
                </c:pt>
                <c:pt idx="63">
                  <c:v>109.86492200714102</c:v>
                </c:pt>
                <c:pt idx="64">
                  <c:v>109.94223655065447</c:v>
                </c:pt>
                <c:pt idx="65">
                  <c:v>109.97112786297511</c:v>
                </c:pt>
                <c:pt idx="66">
                  <c:v>109.94931643632709</c:v>
                </c:pt>
                <c:pt idx="67">
                  <c:v>109.8748234605567</c:v>
                </c:pt>
                <c:pt idx="68">
                  <c:v>109.74599857977566</c:v>
                </c:pt>
                <c:pt idx="69">
                  <c:v>109.56154228687889</c:v>
                </c:pt>
                <c:pt idx="70">
                  <c:v>109.32052239795964</c:v>
                </c:pt>
                <c:pt idx="71">
                  <c:v>109.02238421184559</c:v>
                </c:pt>
                <c:pt idx="72">
                  <c:v>108.66695413452751</c:v>
                </c:pt>
                <c:pt idx="73">
                  <c:v>108.25443672917994</c:v>
                </c:pt>
                <c:pt idx="74">
                  <c:v>107.78540533485004</c:v>
                </c:pt>
                <c:pt idx="75">
                  <c:v>107.26078657587767</c:v>
                </c:pt>
                <c:pt idx="76">
                  <c:v>106.68183925474671</c:v>
                </c:pt>
                <c:pt idx="77">
                  <c:v>106.05012827812359</c:v>
                </c:pt>
                <c:pt idx="78">
                  <c:v>105.3674944037099</c:v>
                </c:pt>
                <c:pt idx="79">
                  <c:v>104.63602070874917</c:v>
                </c:pt>
                <c:pt idx="80">
                  <c:v>103.85799676406077</c:v>
                </c:pt>
                <c:pt idx="81">
                  <c:v>103.03588154576313</c:v>
                </c:pt>
                <c:pt idx="82">
                  <c:v>102.1722661269357</c:v>
                </c:pt>
                <c:pt idx="83">
                  <c:v>101.26983716164411</c:v>
                </c:pt>
                <c:pt idx="84">
                  <c:v>100.33134210448208</c:v>
                </c:pt>
                <c:pt idx="85">
                  <c:v>99.359557002607858</c:v>
                </c:pt>
                <c:pt idx="86">
                  <c:v>98.357257559081887</c:v>
                </c:pt>
                <c:pt idx="87">
                  <c:v>97.327194002664754</c:v>
                </c:pt>
                <c:pt idx="88">
                  <c:v>96.272070118114783</c:v>
                </c:pt>
                <c:pt idx="89">
                  <c:v>95.194526600993925</c:v>
                </c:pt>
                <c:pt idx="90">
                  <c:v>94.097128710742084</c:v>
                </c:pt>
                <c:pt idx="91">
                  <c:v>92.982358013352936</c:v>
                </c:pt>
                <c:pt idx="92">
                  <c:v>91.852607837579626</c:v>
                </c:pt>
                <c:pt idx="93">
                  <c:v>90.710181922007209</c:v>
                </c:pt>
                <c:pt idx="94">
                  <c:v>89.557295609168946</c:v>
                </c:pt>
                <c:pt idx="95">
                  <c:v>88.3960788504113</c:v>
                </c:pt>
                <c:pt idx="96">
                  <c:v>87.228580223688468</c:v>
                </c:pt>
                <c:pt idx="97">
                  <c:v>86.056771137259545</c:v>
                </c:pt>
                <c:pt idx="98">
                  <c:v>84.882549396106981</c:v>
                </c:pt>
                <c:pt idx="99">
                  <c:v>83.707741345027543</c:v>
                </c:pt>
                <c:pt idx="100">
                  <c:v>82.534101872418134</c:v>
                </c:pt>
                <c:pt idx="101">
                  <c:v>81.363311660922477</c:v>
                </c:pt>
                <c:pt idx="102">
                  <c:v>80.196971203487351</c:v>
                </c:pt>
                <c:pt idx="103">
                  <c:v>79.036591263121807</c:v>
                </c:pt>
                <c:pt idx="104">
                  <c:v>77.883579637383136</c:v>
                </c:pt>
                <c:pt idx="105">
                  <c:v>76.73922428829205</c:v>
                </c:pt>
                <c:pt idx="106">
                  <c:v>75.604673107160494</c:v>
                </c:pt>
                <c:pt idx="107">
                  <c:v>74.48091079222506</c:v>
                </c:pt>
                <c:pt idx="108">
                  <c:v>73.368733514076553</c:v>
                </c:pt>
                <c:pt idx="109">
                  <c:v>72.268722218146024</c:v>
                </c:pt>
                <c:pt idx="110">
                  <c:v>71.181215553307965</c:v>
                </c:pt>
                <c:pt idx="111">
                  <c:v>70.106283510589762</c:v>
                </c:pt>
                <c:pt idx="112">
                  <c:v>69.043702897521698</c:v>
                </c:pt>
                <c:pt idx="113">
                  <c:v>67.992935756477792</c:v>
                </c:pt>
                <c:pt idx="114">
                  <c:v>66.95311175773756</c:v>
                </c:pt>
                <c:pt idx="115">
                  <c:v>65.923015462559377</c:v>
                </c:pt>
                <c:pt idx="116">
                  <c:v>64.901079165081953</c:v>
                </c:pt>
                <c:pt idx="117">
                  <c:v>63.8853817951303</c:v>
                </c:pt>
                <c:pt idx="118">
                  <c:v>62.87365411086725</c:v>
                </c:pt>
                <c:pt idx="119">
                  <c:v>61.863290146678807</c:v>
                </c:pt>
                <c:pt idx="120">
                  <c:v>60.85136462445648</c:v>
                </c:pt>
                <c:pt idx="121">
                  <c:v>59.834655801621309</c:v>
                </c:pt>
                <c:pt idx="122">
                  <c:v>58.809673031050551</c:v>
                </c:pt>
                <c:pt idx="123">
                  <c:v>57.772688157572176</c:v>
                </c:pt>
                <c:pt idx="124">
                  <c:v>56.719769780159183</c:v>
                </c:pt>
                <c:pt idx="125">
                  <c:v>55.646819371225916</c:v>
                </c:pt>
                <c:pt idx="126">
                  <c:v>54.549608263194628</c:v>
                </c:pt>
                <c:pt idx="127">
                  <c:v>53.423814582412135</c:v>
                </c:pt>
                <c:pt idx="128">
                  <c:v>52.265059323081289</c:v>
                </c:pt>
                <c:pt idx="129">
                  <c:v>51.068940898509595</c:v>
                </c:pt>
                <c:pt idx="130">
                  <c:v>49.831067671774008</c:v>
                </c:pt>
                <c:pt idx="131">
                  <c:v>48.547088141018833</c:v>
                </c:pt>
                <c:pt idx="132">
                  <c:v>47.212718624934894</c:v>
                </c:pt>
                <c:pt idx="133">
                  <c:v>45.823768451984989</c:v>
                </c:pt>
                <c:pt idx="134">
                  <c:v>44.376162795136452</c:v>
                </c:pt>
                <c:pt idx="135">
                  <c:v>42.865963406918354</c:v>
                </c:pt>
                <c:pt idx="136">
                  <c:v>41.289387594366701</c:v>
                </c:pt>
                <c:pt idx="137">
                  <c:v>39.642825828746879</c:v>
                </c:pt>
                <c:pt idx="138">
                  <c:v>37.922858411260449</c:v>
                </c:pt>
                <c:pt idx="139">
                  <c:v>36.126271614989633</c:v>
                </c:pt>
                <c:pt idx="140">
                  <c:v>34.250073697750224</c:v>
                </c:pt>
                <c:pt idx="141">
                  <c:v>32.291511133384432</c:v>
                </c:pt>
                <c:pt idx="142">
                  <c:v>30.248085343781042</c:v>
                </c:pt>
                <c:pt idx="143">
                  <c:v>28.117570134059321</c:v>
                </c:pt>
                <c:pt idx="144">
                  <c:v>25.898029942370471</c:v>
                </c:pt>
                <c:pt idx="145">
                  <c:v>23.587838917116954</c:v>
                </c:pt>
                <c:pt idx="146">
                  <c:v>21.185700731524065</c:v>
                </c:pt>
                <c:pt idx="147">
                  <c:v>18.690668941787948</c:v>
                </c:pt>
                <c:pt idx="148">
                  <c:v>16.102167594063644</c:v>
                </c:pt>
                <c:pt idx="149">
                  <c:v>13.420011690794013</c:v>
                </c:pt>
                <c:pt idx="150">
                  <c:v>10.64442704193857</c:v>
                </c:pt>
                <c:pt idx="151">
                  <c:v>7.7760689550024154</c:v>
                </c:pt>
                <c:pt idx="152">
                  <c:v>4.816039162663543</c:v>
                </c:pt>
                <c:pt idx="153">
                  <c:v>1.7659003510972582</c:v>
                </c:pt>
                <c:pt idx="154">
                  <c:v>-1.3723123619179773</c:v>
                </c:pt>
                <c:pt idx="155">
                  <c:v>-4.596083640967521</c:v>
                </c:pt>
                <c:pt idx="156">
                  <c:v>-7.902414448198158</c:v>
                </c:pt>
                <c:pt idx="157">
                  <c:v>-11.287823413134674</c:v>
                </c:pt>
                <c:pt idx="158">
                  <c:v>-14.748353533131336</c:v>
                </c:pt>
                <c:pt idx="159">
                  <c:v>-18.279584583833412</c:v>
                </c:pt>
                <c:pt idx="160">
                  <c:v>-21.876651506086375</c:v>
                </c:pt>
                <c:pt idx="161">
                  <c:v>-25.53426890977795</c:v>
                </c:pt>
                <c:pt idx="162">
                  <c:v>-29.24676169958849</c:v>
                </c:pt>
                <c:pt idx="163">
                  <c:v>-33.008101685797044</c:v>
                </c:pt>
                <c:pt idx="164">
                  <c:v>-36.811949898364418</c:v>
                </c:pt>
                <c:pt idx="165">
                  <c:v>-40.651704177370164</c:v>
                </c:pt>
                <c:pt idx="166">
                  <c:v>-44.520551470661104</c:v>
                </c:pt>
                <c:pt idx="167">
                  <c:v>-48.411524133409472</c:v>
                </c:pt>
                <c:pt idx="168">
                  <c:v>-52.317559398069648</c:v>
                </c:pt>
                <c:pt idx="169">
                  <c:v>-56.231561071214628</c:v>
                </c:pt>
                <c:pt idx="170">
                  <c:v>-60.146462421030151</c:v>
                </c:pt>
                <c:pt idx="171">
                  <c:v>-64.055289151061956</c:v>
                </c:pt>
                <c:pt idx="172">
                  <c:v>-67.951221317532131</c:v>
                </c:pt>
                <c:pt idx="173">
                  <c:v>-71.827653043670907</c:v>
                </c:pt>
                <c:pt idx="174">
                  <c:v>-75.678248918424984</c:v>
                </c:pt>
                <c:pt idx="175">
                  <c:v>-79.496996039784122</c:v>
                </c:pt>
                <c:pt idx="176">
                  <c:v>-83.278250773942233</c:v>
                </c:pt>
                <c:pt idx="177">
                  <c:v>-87.016779446720889</c:v>
                </c:pt>
                <c:pt idx="178">
                  <c:v>-90.70779235711953</c:v>
                </c:pt>
                <c:pt idx="179">
                  <c:v>-94.346970696198937</c:v>
                </c:pt>
                <c:pt idx="180">
                  <c:v>-97.930486158106007</c:v>
                </c:pt>
                <c:pt idx="181">
                  <c:v>-101.45501323366827</c:v>
                </c:pt>
                <c:pt idx="182">
                  <c:v>-104.91773437051926</c:v>
                </c:pt>
                <c:pt idx="183">
                  <c:v>-108.31633835835697</c:v>
                </c:pt>
                <c:pt idx="184">
                  <c:v>-111.64901244634028</c:v>
                </c:pt>
                <c:pt idx="185">
                  <c:v>-114.91442881685761</c:v>
                </c:pt>
                <c:pt idx="186">
                  <c:v>-118.1117261232349</c:v>
                </c:pt>
                <c:pt idx="187">
                  <c:v>-121.24048684797667</c:v>
                </c:pt>
                <c:pt idx="188">
                  <c:v>-124.30071125455817</c:v>
                </c:pt>
                <c:pt idx="189">
                  <c:v>-127.2927886929574</c:v>
                </c:pt>
                <c:pt idx="190">
                  <c:v>-130.21746698144128</c:v>
                </c:pt>
                <c:pt idx="191">
                  <c:v>-133.07582052995403</c:v>
                </c:pt>
                <c:pt idx="192">
                  <c:v>-135.86921779907775</c:v>
                </c:pt>
                <c:pt idx="193">
                  <c:v>-138.59928860836897</c:v>
                </c:pt>
                <c:pt idx="194">
                  <c:v>-141.2678917236791</c:v>
                </c:pt>
                <c:pt idx="195">
                  <c:v>-143.87708306911236</c:v>
                </c:pt>
                <c:pt idx="196">
                  <c:v>-146.42908482901541</c:v>
                </c:pt>
                <c:pt idx="197">
                  <c:v>-148.92625563153052</c:v>
                </c:pt>
                <c:pt idx="198">
                  <c:v>-151.37106193982382</c:v>
                </c:pt>
                <c:pt idx="199">
                  <c:v>-153.76605072134001</c:v>
                </c:pt>
                <c:pt idx="200">
                  <c:v>-156.11382342022722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9620736"/>
        <c:axId val="459622656"/>
      </c:scatterChart>
      <c:valAx>
        <c:axId val="459620736"/>
        <c:scaling>
          <c:logBase val="10"/>
          <c:orientation val="minMax"/>
          <c:min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Frequency (Hz)</a:t>
                </a:r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9622656"/>
        <c:crosses val="autoZero"/>
        <c:crossBetween val="midCat"/>
      </c:valAx>
      <c:valAx>
        <c:axId val="459622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Phase (°)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962073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062134821087068"/>
          <c:y val="2.5210098737657793E-2"/>
          <c:w val="0.35287865398734708"/>
          <c:h val="0.134454193225846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7.9338842975206617E-2"/>
          <c:y val="8.3798996976198303E-2"/>
          <c:w val="0.87107438016528926"/>
          <c:h val="0.84636986945960291"/>
        </c:manualLayout>
      </c:layout>
      <c:scatterChart>
        <c:scatterStyle val="smoothMarker"/>
        <c:varyColors val="0"/>
        <c:ser>
          <c:idx val="3"/>
          <c:order val="0"/>
          <c:tx>
            <c:v>Phase Margin Closed Loop</c:v>
          </c:tx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Compensation!$BF$64:$BF$264</c:f>
              <c:numCache>
                <c:formatCode>General</c:formatCode>
                <c:ptCount val="201"/>
                <c:pt idx="0">
                  <c:v>95.239257536439666</c:v>
                </c:pt>
                <c:pt idx="1">
                  <c:v>95.178072436691551</c:v>
                </c:pt>
                <c:pt idx="2">
                  <c:v>95.127729567687993</c:v>
                </c:pt>
                <c:pt idx="3">
                  <c:v>95.08811681336546</c:v>
                </c:pt>
                <c:pt idx="4">
                  <c:v>95.059142055756652</c:v>
                </c:pt>
                <c:pt idx="5">
                  <c:v>95.040732830829924</c:v>
                </c:pt>
                <c:pt idx="6">
                  <c:v>95.032835972705854</c:v>
                </c:pt>
                <c:pt idx="7">
                  <c:v>95.035417242055118</c:v>
                </c:pt>
                <c:pt idx="8">
                  <c:v>95.048460933518768</c:v>
                </c:pt>
                <c:pt idx="9">
                  <c:v>95.071969455937278</c:v>
                </c:pt>
                <c:pt idx="10">
                  <c:v>95.105962878060367</c:v>
                </c:pt>
                <c:pt idx="11">
                  <c:v>95.150478431192283</c:v>
                </c:pt>
                <c:pt idx="12">
                  <c:v>95.205569958909919</c:v>
                </c:pt>
                <c:pt idx="13">
                  <c:v>95.271307302557133</c:v>
                </c:pt>
                <c:pt idx="14">
                  <c:v>95.347775609663401</c:v>
                </c:pt>
                <c:pt idx="15">
                  <c:v>95.435074550735081</c:v>
                </c:pt>
                <c:pt idx="16">
                  <c:v>95.533317428044739</c:v>
                </c:pt>
                <c:pt idx="17">
                  <c:v>95.642630158058637</c:v>
                </c:pt>
                <c:pt idx="18">
                  <c:v>95.763150107036353</c:v>
                </c:pt>
                <c:pt idx="19">
                  <c:v>95.895024757086972</c:v>
                </c:pt>
                <c:pt idx="20">
                  <c:v>96.038410177604888</c:v>
                </c:pt>
                <c:pt idx="21">
                  <c:v>96.193469274561437</c:v>
                </c:pt>
                <c:pt idx="22">
                  <c:v>96.360369787630816</c:v>
                </c:pt>
                <c:pt idx="23">
                  <c:v>96.539282002632731</c:v>
                </c:pt>
                <c:pt idx="24">
                  <c:v>96.730376144372826</c:v>
                </c:pt>
                <c:pt idx="25">
                  <c:v>96.933819412715579</c:v>
                </c:pt>
                <c:pt idx="26">
                  <c:v>97.149772622802587</c:v>
                </c:pt>
                <c:pt idx="27">
                  <c:v>97.378386408845813</c:v>
                </c:pt>
                <c:pt idx="28">
                  <c:v>97.619796950103932</c:v>
                </c:pt>
                <c:pt idx="29">
                  <c:v>97.874121177687798</c:v>
                </c:pt>
                <c:pt idx="30">
                  <c:v>98.141451422049698</c:v>
                </c:pt>
                <c:pt idx="31">
                  <c:v>98.421849463662483</c:v>
                </c:pt>
                <c:pt idx="32">
                  <c:v>98.71533995388792</c:v>
                </c:pt>
                <c:pt idx="33">
                  <c:v>99.021903179733116</c:v>
                </c:pt>
                <c:pt idx="34">
                  <c:v>99.341467155554597</c:v>
                </c:pt>
                <c:pt idx="35">
                  <c:v>99.673899037215421</c:v>
                </c:pt>
                <c:pt idx="36">
                  <c:v>100.01899587018559</c:v>
                </c:pt>
                <c:pt idx="37">
                  <c:v>100.37647470299775</c:v>
                </c:pt>
                <c:pt idx="38">
                  <c:v>100.74596212166705</c:v>
                </c:pt>
                <c:pt idx="39">
                  <c:v>101.12698328935326</c:v>
                </c:pt>
                <c:pt idx="40">
                  <c:v>101.51895060873279</c:v>
                </c:pt>
                <c:pt idx="41">
                  <c:v>101.9211521620019</c:v>
                </c:pt>
                <c:pt idx="42">
                  <c:v>102.33274012465333</c:v>
                </c:pt>
                <c:pt idx="43">
                  <c:v>102.7527193931611</c:v>
                </c:pt>
                <c:pt idx="44">
                  <c:v>103.17993671213161</c:v>
                </c:pt>
                <c:pt idx="45">
                  <c:v>103.61307063139401</c:v>
                </c:pt>
                <c:pt idx="46">
                  <c:v>104.05062266552457</c:v>
                </c:pt>
                <c:pt idx="47">
                  <c:v>104.49091006449696</c:v>
                </c:pt>
                <c:pt idx="48">
                  <c:v>104.93206063126641</c:v>
                </c:pt>
                <c:pt idx="49">
                  <c:v>105.37201003652679</c:v>
                </c:pt>
                <c:pt idx="50">
                  <c:v>105.80850207911453</c:v>
                </c:pt>
                <c:pt idx="51">
                  <c:v>106.23909231924517</c:v>
                </c:pt>
                <c:pt idx="52">
                  <c:v>106.66115546828475</c:v>
                </c:pt>
                <c:pt idx="53">
                  <c:v>107.07189685140366</c:v>
                </c:pt>
                <c:pt idx="54">
                  <c:v>107.46836816786733</c:v>
                </c:pt>
                <c:pt idx="55">
                  <c:v>107.8474876591676</c:v>
                </c:pt>
                <c:pt idx="56">
                  <c:v>108.20606466078046</c:v>
                </c:pt>
                <c:pt idx="57">
                  <c:v>108.54082836391738</c:v>
                </c:pt>
                <c:pt idx="58">
                  <c:v>108.84846045574469</c:v>
                </c:pt>
                <c:pt idx="59">
                  <c:v>109.12563114796151</c:v>
                </c:pt>
                <c:pt idx="60">
                  <c:v>109.36903795276854</c:v>
                </c:pt>
                <c:pt idx="61">
                  <c:v>109.57544643061397</c:v>
                </c:pt>
                <c:pt idx="62">
                  <c:v>109.74173202347471</c:v>
                </c:pt>
                <c:pt idx="63">
                  <c:v>109.86492200714102</c:v>
                </c:pt>
                <c:pt idx="64">
                  <c:v>109.94223655065447</c:v>
                </c:pt>
                <c:pt idx="65">
                  <c:v>109.97112786297511</c:v>
                </c:pt>
                <c:pt idx="66">
                  <c:v>109.94931643632709</c:v>
                </c:pt>
                <c:pt idx="67">
                  <c:v>109.8748234605567</c:v>
                </c:pt>
                <c:pt idx="68">
                  <c:v>109.74599857977566</c:v>
                </c:pt>
                <c:pt idx="69">
                  <c:v>109.56154228687889</c:v>
                </c:pt>
                <c:pt idx="70">
                  <c:v>109.32052239795964</c:v>
                </c:pt>
                <c:pt idx="71">
                  <c:v>109.02238421184559</c:v>
                </c:pt>
                <c:pt idx="72">
                  <c:v>108.66695413452751</c:v>
                </c:pt>
                <c:pt idx="73">
                  <c:v>108.25443672917994</c:v>
                </c:pt>
                <c:pt idx="74">
                  <c:v>107.78540533485004</c:v>
                </c:pt>
                <c:pt idx="75">
                  <c:v>107.26078657587767</c:v>
                </c:pt>
                <c:pt idx="76">
                  <c:v>106.68183925474671</c:v>
                </c:pt>
                <c:pt idx="77">
                  <c:v>106.05012827812359</c:v>
                </c:pt>
                <c:pt idx="78">
                  <c:v>105.3674944037099</c:v>
                </c:pt>
                <c:pt idx="79">
                  <c:v>104.63602070874917</c:v>
                </c:pt>
                <c:pt idx="80">
                  <c:v>103.85799676406077</c:v>
                </c:pt>
                <c:pt idx="81">
                  <c:v>103.03588154576313</c:v>
                </c:pt>
                <c:pt idx="82">
                  <c:v>102.1722661269357</c:v>
                </c:pt>
                <c:pt idx="83">
                  <c:v>101.26983716164411</c:v>
                </c:pt>
                <c:pt idx="84">
                  <c:v>100.33134210448208</c:v>
                </c:pt>
                <c:pt idx="85">
                  <c:v>99.359557002607858</c:v>
                </c:pt>
                <c:pt idx="86">
                  <c:v>98.357257559081887</c:v>
                </c:pt>
                <c:pt idx="87">
                  <c:v>97.327194002664754</c:v>
                </c:pt>
                <c:pt idx="88">
                  <c:v>96.272070118114783</c:v>
                </c:pt>
                <c:pt idx="89">
                  <c:v>95.194526600993925</c:v>
                </c:pt>
                <c:pt idx="90">
                  <c:v>94.097128710742084</c:v>
                </c:pt>
                <c:pt idx="91">
                  <c:v>92.982358013352936</c:v>
                </c:pt>
                <c:pt idx="92">
                  <c:v>91.852607837579626</c:v>
                </c:pt>
                <c:pt idx="93">
                  <c:v>90.710181922007209</c:v>
                </c:pt>
                <c:pt idx="94">
                  <c:v>89.557295609168946</c:v>
                </c:pt>
                <c:pt idx="95">
                  <c:v>88.3960788504113</c:v>
                </c:pt>
                <c:pt idx="96">
                  <c:v>87.228580223688468</c:v>
                </c:pt>
                <c:pt idx="97">
                  <c:v>86.056771137259545</c:v>
                </c:pt>
                <c:pt idx="98">
                  <c:v>84.882549396106981</c:v>
                </c:pt>
                <c:pt idx="99">
                  <c:v>83.707741345027543</c:v>
                </c:pt>
                <c:pt idx="100">
                  <c:v>82.534101872418134</c:v>
                </c:pt>
                <c:pt idx="101">
                  <c:v>81.363311660922477</c:v>
                </c:pt>
                <c:pt idx="102">
                  <c:v>80.196971203487351</c:v>
                </c:pt>
                <c:pt idx="103">
                  <c:v>79.036591263121807</c:v>
                </c:pt>
                <c:pt idx="104">
                  <c:v>77.883579637383136</c:v>
                </c:pt>
                <c:pt idx="105">
                  <c:v>76.73922428829205</c:v>
                </c:pt>
                <c:pt idx="106">
                  <c:v>75.604673107160494</c:v>
                </c:pt>
                <c:pt idx="107">
                  <c:v>74.48091079222506</c:v>
                </c:pt>
                <c:pt idx="108">
                  <c:v>73.368733514076553</c:v>
                </c:pt>
                <c:pt idx="109">
                  <c:v>72.268722218146024</c:v>
                </c:pt>
                <c:pt idx="110">
                  <c:v>71.181215553307965</c:v>
                </c:pt>
                <c:pt idx="111">
                  <c:v>70.106283510589762</c:v>
                </c:pt>
                <c:pt idx="112">
                  <c:v>69.043702897521698</c:v>
                </c:pt>
                <c:pt idx="113">
                  <c:v>67.992935756477792</c:v>
                </c:pt>
                <c:pt idx="114">
                  <c:v>66.95311175773756</c:v>
                </c:pt>
                <c:pt idx="115">
                  <c:v>65.923015462559377</c:v>
                </c:pt>
                <c:pt idx="116">
                  <c:v>64.901079165081953</c:v>
                </c:pt>
                <c:pt idx="117">
                  <c:v>63.8853817951303</c:v>
                </c:pt>
                <c:pt idx="118">
                  <c:v>62.87365411086725</c:v>
                </c:pt>
                <c:pt idx="119">
                  <c:v>61.863290146678807</c:v>
                </c:pt>
                <c:pt idx="120">
                  <c:v>60.85136462445648</c:v>
                </c:pt>
                <c:pt idx="121">
                  <c:v>59.834655801621309</c:v>
                </c:pt>
                <c:pt idx="122">
                  <c:v>58.809673031050551</c:v>
                </c:pt>
                <c:pt idx="123">
                  <c:v>57.772688157572176</c:v>
                </c:pt>
                <c:pt idx="124">
                  <c:v>56.719769780159183</c:v>
                </c:pt>
                <c:pt idx="125">
                  <c:v>55.646819371225916</c:v>
                </c:pt>
                <c:pt idx="126">
                  <c:v>54.549608263194628</c:v>
                </c:pt>
                <c:pt idx="127">
                  <c:v>53.423814582412135</c:v>
                </c:pt>
                <c:pt idx="128">
                  <c:v>52.265059323081289</c:v>
                </c:pt>
                <c:pt idx="129">
                  <c:v>51.068940898509595</c:v>
                </c:pt>
                <c:pt idx="130">
                  <c:v>49.831067671774008</c:v>
                </c:pt>
                <c:pt idx="131">
                  <c:v>48.547088141018833</c:v>
                </c:pt>
                <c:pt idx="132">
                  <c:v>47.212718624934894</c:v>
                </c:pt>
                <c:pt idx="133">
                  <c:v>45.823768451984989</c:v>
                </c:pt>
                <c:pt idx="134">
                  <c:v>44.376162795136452</c:v>
                </c:pt>
                <c:pt idx="135">
                  <c:v>42.865963406918354</c:v>
                </c:pt>
                <c:pt idx="136">
                  <c:v>41.289387594366701</c:v>
                </c:pt>
                <c:pt idx="137">
                  <c:v>39.642825828746879</c:v>
                </c:pt>
                <c:pt idx="138">
                  <c:v>37.922858411260449</c:v>
                </c:pt>
                <c:pt idx="139">
                  <c:v>36.126271614989633</c:v>
                </c:pt>
                <c:pt idx="140">
                  <c:v>34.250073697750224</c:v>
                </c:pt>
                <c:pt idx="141">
                  <c:v>32.291511133384432</c:v>
                </c:pt>
                <c:pt idx="142">
                  <c:v>30.248085343781042</c:v>
                </c:pt>
                <c:pt idx="143">
                  <c:v>28.117570134059321</c:v>
                </c:pt>
                <c:pt idx="144">
                  <c:v>25.898029942370471</c:v>
                </c:pt>
                <c:pt idx="145">
                  <c:v>23.587838917116954</c:v>
                </c:pt>
                <c:pt idx="146">
                  <c:v>21.185700731524065</c:v>
                </c:pt>
                <c:pt idx="147">
                  <c:v>18.690668941787948</c:v>
                </c:pt>
                <c:pt idx="148">
                  <c:v>16.102167594063644</c:v>
                </c:pt>
                <c:pt idx="149">
                  <c:v>13.420011690794013</c:v>
                </c:pt>
                <c:pt idx="150">
                  <c:v>10.64442704193857</c:v>
                </c:pt>
                <c:pt idx="151">
                  <c:v>7.7760689550024154</c:v>
                </c:pt>
                <c:pt idx="152">
                  <c:v>4.816039162663543</c:v>
                </c:pt>
                <c:pt idx="153">
                  <c:v>1.7659003510972582</c:v>
                </c:pt>
                <c:pt idx="154">
                  <c:v>-1.3723123619179773</c:v>
                </c:pt>
                <c:pt idx="155">
                  <c:v>-4.596083640967521</c:v>
                </c:pt>
                <c:pt idx="156">
                  <c:v>-7.902414448198158</c:v>
                </c:pt>
                <c:pt idx="157">
                  <c:v>-11.287823413134674</c:v>
                </c:pt>
                <c:pt idx="158">
                  <c:v>-14.748353533131336</c:v>
                </c:pt>
                <c:pt idx="159">
                  <c:v>-18.279584583833412</c:v>
                </c:pt>
                <c:pt idx="160">
                  <c:v>-21.876651506086375</c:v>
                </c:pt>
                <c:pt idx="161">
                  <c:v>-25.53426890977795</c:v>
                </c:pt>
                <c:pt idx="162">
                  <c:v>-29.24676169958849</c:v>
                </c:pt>
                <c:pt idx="163">
                  <c:v>-33.008101685797044</c:v>
                </c:pt>
                <c:pt idx="164">
                  <c:v>-36.811949898364418</c:v>
                </c:pt>
                <c:pt idx="165">
                  <c:v>-40.651704177370164</c:v>
                </c:pt>
                <c:pt idx="166">
                  <c:v>-44.520551470661104</c:v>
                </c:pt>
                <c:pt idx="167">
                  <c:v>-48.411524133409472</c:v>
                </c:pt>
                <c:pt idx="168">
                  <c:v>-52.317559398069648</c:v>
                </c:pt>
                <c:pt idx="169">
                  <c:v>-56.231561071214628</c:v>
                </c:pt>
                <c:pt idx="170">
                  <c:v>-60.146462421030151</c:v>
                </c:pt>
                <c:pt idx="171">
                  <c:v>-64.055289151061956</c:v>
                </c:pt>
                <c:pt idx="172">
                  <c:v>-67.951221317532131</c:v>
                </c:pt>
                <c:pt idx="173">
                  <c:v>-71.827653043670907</c:v>
                </c:pt>
                <c:pt idx="174">
                  <c:v>-75.678248918424984</c:v>
                </c:pt>
                <c:pt idx="175">
                  <c:v>-79.496996039784122</c:v>
                </c:pt>
                <c:pt idx="176">
                  <c:v>-83.278250773942233</c:v>
                </c:pt>
                <c:pt idx="177">
                  <c:v>-87.016779446720889</c:v>
                </c:pt>
                <c:pt idx="178">
                  <c:v>-90.70779235711953</c:v>
                </c:pt>
                <c:pt idx="179">
                  <c:v>-94.346970696198937</c:v>
                </c:pt>
                <c:pt idx="180">
                  <c:v>-97.930486158106007</c:v>
                </c:pt>
                <c:pt idx="181">
                  <c:v>-101.45501323366827</c:v>
                </c:pt>
                <c:pt idx="182">
                  <c:v>-104.91773437051926</c:v>
                </c:pt>
                <c:pt idx="183">
                  <c:v>-108.31633835835697</c:v>
                </c:pt>
                <c:pt idx="184">
                  <c:v>-111.64901244634028</c:v>
                </c:pt>
                <c:pt idx="185">
                  <c:v>-114.91442881685761</c:v>
                </c:pt>
                <c:pt idx="186">
                  <c:v>-118.1117261232349</c:v>
                </c:pt>
                <c:pt idx="187">
                  <c:v>-121.24048684797667</c:v>
                </c:pt>
                <c:pt idx="188">
                  <c:v>-124.30071125455817</c:v>
                </c:pt>
                <c:pt idx="189">
                  <c:v>-127.2927886929574</c:v>
                </c:pt>
                <c:pt idx="190">
                  <c:v>-130.21746698144128</c:v>
                </c:pt>
                <c:pt idx="191">
                  <c:v>-133.07582052995403</c:v>
                </c:pt>
                <c:pt idx="192">
                  <c:v>-135.86921779907775</c:v>
                </c:pt>
                <c:pt idx="193">
                  <c:v>-138.59928860836897</c:v>
                </c:pt>
                <c:pt idx="194">
                  <c:v>-141.2678917236791</c:v>
                </c:pt>
                <c:pt idx="195">
                  <c:v>-143.87708306911236</c:v>
                </c:pt>
                <c:pt idx="196">
                  <c:v>-146.42908482901541</c:v>
                </c:pt>
                <c:pt idx="197">
                  <c:v>-148.92625563153052</c:v>
                </c:pt>
                <c:pt idx="198">
                  <c:v>-151.37106193982382</c:v>
                </c:pt>
                <c:pt idx="199">
                  <c:v>-153.76605072134001</c:v>
                </c:pt>
                <c:pt idx="200">
                  <c:v>-156.11382342022722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3707520"/>
        <c:axId val="469240832"/>
      </c:scatterChart>
      <c:valAx>
        <c:axId val="463707520"/>
        <c:scaling>
          <c:logBase val="10"/>
          <c:orientation val="minMax"/>
          <c:min val="10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Frequency (Hz)</a:t>
                </a:r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9240832"/>
        <c:crosses val="autoZero"/>
        <c:crossBetween val="midCat"/>
      </c:valAx>
      <c:valAx>
        <c:axId val="4692408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Phase (°)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37075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9771371847696773"/>
          <c:y val="8.4913435701772427E-2"/>
          <c:w val="0.24981163239010629"/>
          <c:h val="0.17106626517291038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7.9799869971820314E-2"/>
          <c:y val="8.0779944289693595E-2"/>
          <c:w val="0.87073515693074044"/>
          <c:h val="0.85236768802228413"/>
        </c:manualLayout>
      </c:layout>
      <c:scatterChart>
        <c:scatterStyle val="smoothMarker"/>
        <c:varyColors val="0"/>
        <c:ser>
          <c:idx val="3"/>
          <c:order val="0"/>
          <c:tx>
            <c:v>Bandwidth of Closed Loop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Compensation!$BE$64:$BE$264</c:f>
              <c:numCache>
                <c:formatCode>General</c:formatCode>
                <c:ptCount val="201"/>
                <c:pt idx="0">
                  <c:v>43.962215676228162</c:v>
                </c:pt>
                <c:pt idx="1">
                  <c:v>43.564873420648247</c:v>
                </c:pt>
                <c:pt idx="2">
                  <c:v>43.167547535068891</c:v>
                </c:pt>
                <c:pt idx="3">
                  <c:v>42.770260429510707</c:v>
                </c:pt>
                <c:pt idx="4">
                  <c:v>42.373034817844953</c:v>
                </c:pt>
                <c:pt idx="5">
                  <c:v>41.975893900024076</c:v>
                </c:pt>
                <c:pt idx="6">
                  <c:v>41.578861547250632</c:v>
                </c:pt>
                <c:pt idx="7">
                  <c:v>41.181962491277197</c:v>
                </c:pt>
                <c:pt idx="8">
                  <c:v>40.785222519004137</c:v>
                </c:pt>
                <c:pt idx="9">
                  <c:v>40.388668673533573</c:v>
                </c:pt>
                <c:pt idx="10">
                  <c:v>39.992329462806978</c:v>
                </c:pt>
                <c:pt idx="11">
                  <c:v>39.59623507692968</c:v>
                </c:pt>
                <c:pt idx="12">
                  <c:v>39.200417615239196</c:v>
                </c:pt>
                <c:pt idx="13">
                  <c:v>38.804911324121953</c:v>
                </c:pt>
                <c:pt idx="14">
                  <c:v>38.40975284650942</c:v>
                </c:pt>
                <c:pt idx="15">
                  <c:v>38.014981483889329</c:v>
                </c:pt>
                <c:pt idx="16">
                  <c:v>37.620639471543711</c:v>
                </c:pt>
                <c:pt idx="17">
                  <c:v>37.226772267567362</c:v>
                </c:pt>
                <c:pt idx="18">
                  <c:v>36.833428856024256</c:v>
                </c:pt>
                <c:pt idx="19">
                  <c:v>36.440662064345794</c:v>
                </c:pt>
                <c:pt idx="20">
                  <c:v>36.0485288947702</c:v>
                </c:pt>
                <c:pt idx="21">
                  <c:v>35.657090869243504</c:v>
                </c:pt>
                <c:pt idx="22">
                  <c:v>35.266414386746227</c:v>
                </c:pt>
                <c:pt idx="23">
                  <c:v>34.876571091455403</c:v>
                </c:pt>
                <c:pt idx="24">
                  <c:v>34.487638249500762</c:v>
                </c:pt>
                <c:pt idx="25">
                  <c:v>34.09969913129401</c:v>
                </c:pt>
                <c:pt idx="26">
                  <c:v>33.712843395504358</c:v>
                </c:pt>
                <c:pt idx="27">
                  <c:v>33.327167469705067</c:v>
                </c:pt>
                <c:pt idx="28">
                  <c:v>32.942774921505354</c:v>
                </c:pt>
                <c:pt idx="29">
                  <c:v>32.559776812619177</c:v>
                </c:pt>
                <c:pt idx="30">
                  <c:v>32.178292026784383</c:v>
                </c:pt>
                <c:pt idx="31">
                  <c:v>31.798447560755395</c:v>
                </c:pt>
                <c:pt idx="32">
                  <c:v>31.420378765743713</c:v>
                </c:pt>
                <c:pt idx="33">
                  <c:v>31.044229524709024</c:v>
                </c:pt>
                <c:pt idx="34">
                  <c:v>30.670152348841558</c:v>
                </c:pt>
                <c:pt idx="35">
                  <c:v>30.29830837447653</c:v>
                </c:pt>
                <c:pt idx="36">
                  <c:v>29.928867239623468</c:v>
                </c:pt>
                <c:pt idx="37">
                  <c:v>29.56200681737096</c:v>
                </c:pt>
                <c:pt idx="38">
                  <c:v>29.197912781764657</c:v>
                </c:pt>
                <c:pt idx="39">
                  <c:v>28.836777980513425</c:v>
                </c:pt>
                <c:pt idx="40">
                  <c:v>28.478801588219511</c:v>
                </c:pt>
                <c:pt idx="41">
                  <c:v>28.124188013962033</c:v>
                </c:pt>
                <c:pt idx="42">
                  <c:v>27.773145538216273</c:v>
                </c:pt>
                <c:pt idx="43">
                  <c:v>27.425884656475024</c:v>
                </c:pt>
                <c:pt idx="44">
                  <c:v>27.082616110784961</c:v>
                </c:pt>
                <c:pt idx="45">
                  <c:v>26.743548595923762</c:v>
                </c:pt>
                <c:pt idx="46">
                  <c:v>26.408886134245549</c:v>
                </c:pt>
                <c:pt idx="47">
                  <c:v>26.078825122413708</c:v>
                </c:pt>
                <c:pt idx="48">
                  <c:v>25.753551064280703</c:v>
                </c:pt>
                <c:pt idx="49">
                  <c:v>25.433235016883184</c:v>
                </c:pt>
                <c:pt idx="50">
                  <c:v>25.118029790630079</c:v>
                </c:pt>
                <c:pt idx="51">
                  <c:v>24.808065959730484</c:v>
                </c:pt>
                <c:pt idx="52">
                  <c:v>24.503447754149438</c:v>
                </c:pt>
                <c:pt idx="53">
                  <c:v>24.204248919054208</c:v>
                </c:pt>
                <c:pt idx="54">
                  <c:v>23.910508640933745</c:v>
                </c:pt>
                <c:pt idx="55">
                  <c:v>23.622227650371215</c:v>
                </c:pt>
                <c:pt idx="56">
                  <c:v>23.339364618883437</c:v>
                </c:pt>
                <c:pt idx="57">
                  <c:v>23.061832970454983</c:v>
                </c:pt>
                <c:pt idx="58">
                  <c:v>22.789498226760333</c:v>
                </c:pt>
                <c:pt idx="59">
                  <c:v>22.52217599817903</c:v>
                </c:pt>
                <c:pt idx="60">
                  <c:v>22.259630720521105</c:v>
                </c:pt>
                <c:pt idx="61">
                  <c:v>22.001575220182289</c:v>
                </c:pt>
                <c:pt idx="62">
                  <c:v>21.747671168876753</c:v>
                </c:pt>
                <c:pt idx="63">
                  <c:v>21.497530464075709</c:v>
                </c:pt>
                <c:pt idx="64">
                  <c:v>21.250717543973032</c:v>
                </c:pt>
                <c:pt idx="65">
                  <c:v>21.0067526174536</c:v>
                </c:pt>
                <c:pt idx="66">
                  <c:v>20.765115761437034</c:v>
                </c:pt>
                <c:pt idx="67">
                  <c:v>20.52525181131714</c:v>
                </c:pt>
                <c:pt idx="68">
                  <c:v>20.286575946005204</c:v>
                </c:pt>
                <c:pt idx="69">
                  <c:v>20.048479848181771</c:v>
                </c:pt>
                <c:pt idx="70">
                  <c:v>19.810338303342451</c:v>
                </c:pt>
                <c:pt idx="71">
                  <c:v>19.57151608852153</c:v>
                </c:pt>
                <c:pt idx="72">
                  <c:v>19.331374993432625</c:v>
                </c:pt>
                <c:pt idx="73">
                  <c:v>19.089280813331907</c:v>
                </c:pt>
                <c:pt idx="74">
                  <c:v>18.844610154230391</c:v>
                </c:pt>
                <c:pt idx="75">
                  <c:v>18.596756897175609</c:v>
                </c:pt>
                <c:pt idx="76">
                  <c:v>18.345138179113913</c:v>
                </c:pt>
                <c:pt idx="77">
                  <c:v>18.089199763192717</c:v>
                </c:pt>
                <c:pt idx="78">
                  <c:v>17.82842069097245</c:v>
                </c:pt>
                <c:pt idx="79">
                  <c:v>17.562317132448769</c:v>
                </c:pt>
                <c:pt idx="80">
                  <c:v>17.290445376346973</c:v>
                </c:pt>
                <c:pt idx="81">
                  <c:v>17.01240393196839</c:v>
                </c:pt>
                <c:pt idx="82">
                  <c:v>16.727834743826595</c:v>
                </c:pt>
                <c:pt idx="83">
                  <c:v>16.436423550158803</c:v>
                </c:pt>
                <c:pt idx="84">
                  <c:v>16.137899444803459</c:v>
                </c:pt>
                <c:pt idx="85">
                  <c:v>15.832033727577524</c:v>
                </c:pt>
                <c:pt idx="86">
                  <c:v>15.518638149986916</c:v>
                </c:pt>
                <c:pt idx="87">
                  <c:v>15.197562679894842</c:v>
                </c:pt>
                <c:pt idx="88">
                  <c:v>14.868692919954485</c:v>
                </c:pt>
                <c:pt idx="89">
                  <c:v>14.531947319855403</c:v>
                </c:pt>
                <c:pt idx="90">
                  <c:v>14.187274321682235</c:v>
                </c:pt>
                <c:pt idx="91">
                  <c:v>13.834649571210187</c:v>
                </c:pt>
                <c:pt idx="92">
                  <c:v>13.474073316289514</c:v>
                </c:pt>
                <c:pt idx="93">
                  <c:v>13.105568097245923</c:v>
                </c:pt>
                <c:pt idx="94">
                  <c:v>12.729176814279366</c:v>
                </c:pt>
                <c:pt idx="95">
                  <c:v>12.344961233980396</c:v>
                </c:pt>
                <c:pt idx="96">
                  <c:v>11.95300097217344</c:v>
                </c:pt>
                <c:pt idx="97">
                  <c:v>11.553392964154119</c:v>
                </c:pt>
                <c:pt idx="98">
                  <c:v>11.146251406846657</c:v>
                </c:pt>
                <c:pt idx="99">
                  <c:v>10.731708131264199</c:v>
                </c:pt>
                <c:pt idx="100">
                  <c:v>10.309913338765924</c:v>
                </c:pt>
                <c:pt idx="101">
                  <c:v>9.8810366118147819</c:v>
                </c:pt>
                <c:pt idx="102">
                  <c:v>9.4452680901936468</c:v>
                </c:pt>
                <c:pt idx="103">
                  <c:v>9.0028196878593718</c:v>
                </c:pt>
                <c:pt idx="104">
                  <c:v>8.5539262147724369</c:v>
                </c:pt>
                <c:pt idx="105">
                  <c:v>8.098846263003189</c:v>
                </c:pt>
                <c:pt idx="106">
                  <c:v>7.6378627179400134</c:v>
                </c:pt>
                <c:pt idx="107">
                  <c:v>7.1712827639875929</c:v>
                </c:pt>
                <c:pt idx="108">
                  <c:v>6.6994372699283566</c:v>
                </c:pt>
                <c:pt idx="109">
                  <c:v>6.2226794618382737</c:v>
                </c:pt>
                <c:pt idx="110">
                  <c:v>5.7413828203735999</c:v>
                </c:pt>
                <c:pt idx="111">
                  <c:v>5.2559381731310664</c:v>
                </c:pt>
                <c:pt idx="112">
                  <c:v>4.7667499899379093</c:v>
                </c:pt>
                <c:pt idx="113">
                  <c:v>4.274231927303501</c:v>
                </c:pt>
                <c:pt idx="114">
                  <c:v>3.7788017055467602</c:v>
                </c:pt>
                <c:pt idx="115">
                  <c:v>3.2808754359901466</c:v>
                </c:pt>
                <c:pt idx="116">
                  <c:v>2.780861543857776</c:v>
                </c:pt>
                <c:pt idx="117">
                  <c:v>2.2791544532730215</c:v>
                </c:pt>
                <c:pt idx="118">
                  <c:v>1.7761282126366837</c:v>
                </c:pt>
                <c:pt idx="119">
                  <c:v>1.2721302409544348</c:v>
                </c:pt>
                <c:pt idx="120">
                  <c:v>0.7674753682999037</c:v>
                </c:pt>
                <c:pt idx="121">
                  <c:v>0.26244032722798555</c:v>
                </c:pt>
                <c:pt idx="122">
                  <c:v>-0.24274117214365298</c:v>
                </c:pt>
                <c:pt idx="123">
                  <c:v>-0.7478826806485499</c:v>
                </c:pt>
                <c:pt idx="124">
                  <c:v>-1.2528484931721717</c:v>
                </c:pt>
                <c:pt idx="125">
                  <c:v>-1.7575563424530611</c:v>
                </c:pt>
                <c:pt idx="126">
                  <c:v>-2.2619793039513496</c:v>
                </c:pt>
                <c:pt idx="127">
                  <c:v>-2.7661469434490931</c:v>
                </c:pt>
                <c:pt idx="128">
                  <c:v>-3.2701457657125954</c:v>
                </c:pt>
                <c:pt idx="129">
                  <c:v>-3.7741190433330907</c:v>
                </c:pt>
                <c:pt idx="130">
                  <c:v>-4.2782661190986362</c:v>
                </c:pt>
                <c:pt idx="131">
                  <c:v>-4.7828412827108346</c:v>
                </c:pt>
                <c:pt idx="132">
                  <c:v>-5.2881523236563277</c:v>
                </c:pt>
                <c:pt idx="133">
                  <c:v>-5.7945588572059217</c:v>
                </c:pt>
                <c:pt idx="134">
                  <c:v>-6.3024705107788384</c:v>
                </c:pt>
                <c:pt idx="135">
                  <c:v>-6.8123450443687403</c:v>
                </c:pt>
                <c:pt idx="136">
                  <c:v>-7.3246864625236352</c:v>
                </c:pt>
                <c:pt idx="137">
                  <c:v>-7.8400431576277025</c:v>
                </c:pt>
                <c:pt idx="138">
                  <c:v>-8.359006105975066</c:v>
                </c:pt>
                <c:pt idx="139">
                  <c:v>-8.8822071202574318</c:v>
                </c:pt>
                <c:pt idx="140">
                  <c:v>-9.4103171453434111</c:v>
                </c:pt>
                <c:pt idx="141">
                  <c:v>-9.9440445692198498</c:v>
                </c:pt>
                <c:pt idx="142">
                  <c:v>-10.484133508141326</c:v>
                </c:pt>
                <c:pt idx="143">
                  <c:v>-11.031362014750609</c:v>
                </c:pt>
                <c:pt idx="144">
                  <c:v>-11.586540150427746</c:v>
                </c:pt>
                <c:pt idx="145">
                  <c:v>-12.150507858578216</c:v>
                </c:pt>
                <c:pt idx="146">
                  <c:v>-12.724132574092128</c:v>
                </c:pt>
                <c:pt idx="147">
                  <c:v>-13.308306505838045</c:v>
                </c:pt>
                <c:pt idx="148">
                  <c:v>-13.903943533789578</c:v>
                </c:pt>
                <c:pt idx="149">
                  <c:v>-14.511975670139689</c:v>
                </c:pt>
                <c:pt idx="150">
                  <c:v>-15.133349044361799</c:v>
                </c:pt>
                <c:pt idx="151">
                  <c:v>-15.7690193853678</c:v>
                </c:pt>
                <c:pt idx="152">
                  <c:v>-16.419946989327482</c:v>
                </c:pt>
                <c:pt idx="153">
                  <c:v>-17.087091178858415</c:v>
                </c:pt>
                <c:pt idx="154">
                  <c:v>-17.771404277619009</c:v>
                </c:pt>
                <c:pt idx="155">
                  <c:v>-18.473825143168167</c:v>
                </c:pt>
                <c:pt idx="156">
                  <c:v>-19.195272319620976</c:v>
                </c:pt>
                <c:pt idx="157">
                  <c:v>-19.936636889416498</c:v>
                </c:pt>
                <c:pt idx="158">
                  <c:v>-20.698775119782724</c:v>
                </c:pt>
                <c:pt idx="159">
                  <c:v>-21.482501013643883</c:v>
                </c:pt>
                <c:pt idx="160">
                  <c:v>-22.288578886309864</c:v>
                </c:pt>
                <c:pt idx="161">
                  <c:v>-23.117716097951309</c:v>
                </c:pt>
                <c:pt idx="162">
                  <c:v>-23.970556077362794</c:v>
                </c:pt>
                <c:pt idx="163">
                  <c:v>-24.847671774696259</c:v>
                </c:pt>
                <c:pt idx="164">
                  <c:v>-25.749559679615672</c:v>
                </c:pt>
                <c:pt idx="165">
                  <c:v>-26.676634536607203</c:v>
                </c:pt>
                <c:pt idx="166">
                  <c:v>-27.629224880933123</c:v>
                </c:pt>
                <c:pt idx="167">
                  <c:v>-28.607569506857065</c:v>
                </c:pt>
                <c:pt idx="168">
                  <c:v>-29.611814964311947</c:v>
                </c:pt>
                <c:pt idx="169">
                  <c:v>-30.642014161128152</c:v>
                </c:pt>
                <c:pt idx="170">
                  <c:v>-31.698126125513888</c:v>
                </c:pt>
                <c:pt idx="171">
                  <c:v>-32.780016958025783</c:v>
                </c:pt>
                <c:pt idx="172">
                  <c:v>-33.887461974441592</c:v>
                </c:pt>
                <c:pt idx="173">
                  <c:v>-35.020149011592295</c:v>
                </c:pt>
                <c:pt idx="174">
                  <c:v>-36.177682838500225</c:v>
                </c:pt>
                <c:pt idx="175">
                  <c:v>-37.359590586370516</c:v>
                </c:pt>
                <c:pt idx="176">
                  <c:v>-38.565328084530861</c:v>
                </c:pt>
                <c:pt idx="177">
                  <c:v>-39.794286966641408</c:v>
                </c:pt>
                <c:pt idx="178">
                  <c:v>-41.045802393630247</c:v>
                </c:pt>
                <c:pt idx="179">
                  <c:v>-42.319161227745695</c:v>
                </c:pt>
                <c:pt idx="180">
                  <c:v>-43.613610486423475</c:v>
                </c:pt>
                <c:pt idx="181">
                  <c:v>-44.928365905473314</c:v>
                </c:pt>
                <c:pt idx="182">
                  <c:v>-46.262620448088981</c:v>
                </c:pt>
                <c:pt idx="183">
                  <c:v>-47.615552608735499</c:v>
                </c:pt>
                <c:pt idx="184">
                  <c:v>-48.986334378043395</c:v>
                </c:pt>
                <c:pt idx="185">
                  <c:v>-50.374138755295334</c:v>
                </c:pt>
                <c:pt idx="186">
                  <c:v>-51.778146717606489</c:v>
                </c:pt>
                <c:pt idx="187">
                  <c:v>-53.197553578217352</c:v>
                </c:pt>
                <c:pt idx="188">
                  <c:v>-54.631574689249987</c:v>
                </c:pt>
                <c:pt idx="189">
                  <c:v>-56.079450465831584</c:v>
                </c:pt>
                <c:pt idx="190">
                  <c:v>-57.540450727859309</c:v>
                </c:pt>
                <c:pt idx="191">
                  <c:v>-59.013878372323944</c:v>
                </c:pt>
                <c:pt idx="192">
                  <c:v>-60.499072402702048</c:v>
                </c:pt>
                <c:pt idx="193">
                  <c:v>-61.995410352335071</c:v>
                </c:pt>
                <c:pt idx="194">
                  <c:v>-63.502310146030055</c:v>
                </c:pt>
                <c:pt idx="195">
                  <c:v>-65.019231448511903</c:v>
                </c:pt>
                <c:pt idx="196">
                  <c:v>-66.545676550145672</c:v>
                </c:pt>
                <c:pt idx="197">
                  <c:v>-68.081190839895299</c:v>
                </c:pt>
                <c:pt idx="198">
                  <c:v>-69.62536291316637</c:v>
                </c:pt>
                <c:pt idx="199">
                  <c:v>-71.17782435841319</c:v>
                </c:pt>
                <c:pt idx="200">
                  <c:v>-72.738249261551701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692864"/>
        <c:axId val="180695040"/>
      </c:scatterChart>
      <c:valAx>
        <c:axId val="180692864"/>
        <c:scaling>
          <c:logBase val="10"/>
          <c:orientation val="minMax"/>
          <c:min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Frequency (Hz)</a:t>
                </a:r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0695040"/>
        <c:crosses val="autoZero"/>
        <c:crossBetween val="midCat"/>
      </c:valAx>
      <c:valAx>
        <c:axId val="180695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Gain (dB)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069286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258789197402955"/>
          <c:y val="8.0779938052767106E-2"/>
          <c:w val="0.29647340902987301"/>
          <c:h val="0.120390590986553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wmf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image" Target="../media/image3.emf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10" Type="http://schemas.openxmlformats.org/officeDocument/2006/relationships/image" Target="../media/image5.png"/><Relationship Id="rId4" Type="http://schemas.openxmlformats.org/officeDocument/2006/relationships/chart" Target="../charts/chart5.xml"/><Relationship Id="rId9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43</xdr:row>
      <xdr:rowOff>38100</xdr:rowOff>
    </xdr:from>
    <xdr:to>
      <xdr:col>7</xdr:col>
      <xdr:colOff>552450</xdr:colOff>
      <xdr:row>73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38100</xdr:rowOff>
    </xdr:from>
    <xdr:to>
      <xdr:col>7</xdr:col>
      <xdr:colOff>429223</xdr:colOff>
      <xdr:row>12</xdr:row>
      <xdr:rowOff>47625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0"/>
          <a:ext cx="6982423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352425</xdr:colOff>
      <xdr:row>19</xdr:row>
      <xdr:rowOff>47625</xdr:rowOff>
    </xdr:from>
    <xdr:to>
      <xdr:col>13</xdr:col>
      <xdr:colOff>57150</xdr:colOff>
      <xdr:row>19</xdr:row>
      <xdr:rowOff>133350</xdr:rowOff>
    </xdr:to>
    <xdr:sp macro="" textlink="">
      <xdr:nvSpPr>
        <xdr:cNvPr id="4" name="Rectangle 3"/>
        <xdr:cNvSpPr/>
      </xdr:nvSpPr>
      <xdr:spPr>
        <a:xfrm>
          <a:off x="11106150" y="3200400"/>
          <a:ext cx="314325" cy="8572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19050</xdr:colOff>
      <xdr:row>22</xdr:row>
      <xdr:rowOff>57150</xdr:rowOff>
    </xdr:from>
    <xdr:to>
      <xdr:col>13</xdr:col>
      <xdr:colOff>333375</xdr:colOff>
      <xdr:row>22</xdr:row>
      <xdr:rowOff>142875</xdr:rowOff>
    </xdr:to>
    <xdr:sp macro="" textlink="">
      <xdr:nvSpPr>
        <xdr:cNvPr id="7" name="Rectangle 6"/>
        <xdr:cNvSpPr/>
      </xdr:nvSpPr>
      <xdr:spPr>
        <a:xfrm>
          <a:off x="11382375" y="3695700"/>
          <a:ext cx="314325" cy="8572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495300</xdr:colOff>
      <xdr:row>22</xdr:row>
      <xdr:rowOff>47625</xdr:rowOff>
    </xdr:from>
    <xdr:to>
      <xdr:col>15</xdr:col>
      <xdr:colOff>200025</xdr:colOff>
      <xdr:row>22</xdr:row>
      <xdr:rowOff>133350</xdr:rowOff>
    </xdr:to>
    <xdr:sp macro="" textlink="">
      <xdr:nvSpPr>
        <xdr:cNvPr id="8" name="Rectangle 7"/>
        <xdr:cNvSpPr/>
      </xdr:nvSpPr>
      <xdr:spPr>
        <a:xfrm>
          <a:off x="12468225" y="3686175"/>
          <a:ext cx="314325" cy="8572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542925</xdr:colOff>
      <xdr:row>25</xdr:row>
      <xdr:rowOff>142875</xdr:rowOff>
    </xdr:from>
    <xdr:to>
      <xdr:col>15</xdr:col>
      <xdr:colOff>247650</xdr:colOff>
      <xdr:row>26</xdr:row>
      <xdr:rowOff>66675</xdr:rowOff>
    </xdr:to>
    <xdr:sp macro="" textlink="">
      <xdr:nvSpPr>
        <xdr:cNvPr id="9" name="Rectangle 8"/>
        <xdr:cNvSpPr/>
      </xdr:nvSpPr>
      <xdr:spPr>
        <a:xfrm>
          <a:off x="12515850" y="4267200"/>
          <a:ext cx="314325" cy="8572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514350</xdr:colOff>
      <xdr:row>24</xdr:row>
      <xdr:rowOff>38100</xdr:rowOff>
    </xdr:from>
    <xdr:to>
      <xdr:col>16</xdr:col>
      <xdr:colOff>219075</xdr:colOff>
      <xdr:row>24</xdr:row>
      <xdr:rowOff>123825</xdr:rowOff>
    </xdr:to>
    <xdr:sp macro="" textlink="">
      <xdr:nvSpPr>
        <xdr:cNvPr id="10" name="Rectangle 9"/>
        <xdr:cNvSpPr/>
      </xdr:nvSpPr>
      <xdr:spPr>
        <a:xfrm>
          <a:off x="13096875" y="4000500"/>
          <a:ext cx="314325" cy="8572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180974</xdr:colOff>
      <xdr:row>29</xdr:row>
      <xdr:rowOff>112309</xdr:rowOff>
    </xdr:from>
    <xdr:to>
      <xdr:col>8</xdr:col>
      <xdr:colOff>495299</xdr:colOff>
      <xdr:row>30</xdr:row>
      <xdr:rowOff>36109</xdr:rowOff>
    </xdr:to>
    <xdr:sp macro="" textlink="">
      <xdr:nvSpPr>
        <xdr:cNvPr id="11" name="Rectangle 10"/>
        <xdr:cNvSpPr/>
      </xdr:nvSpPr>
      <xdr:spPr>
        <a:xfrm>
          <a:off x="7458074" y="4884334"/>
          <a:ext cx="314325" cy="8572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904874</xdr:colOff>
      <xdr:row>31</xdr:row>
      <xdr:rowOff>121834</xdr:rowOff>
    </xdr:from>
    <xdr:to>
      <xdr:col>12</xdr:col>
      <xdr:colOff>304799</xdr:colOff>
      <xdr:row>32</xdr:row>
      <xdr:rowOff>45634</xdr:rowOff>
    </xdr:to>
    <xdr:sp macro="" textlink="">
      <xdr:nvSpPr>
        <xdr:cNvPr id="12" name="Rectangle 11"/>
        <xdr:cNvSpPr/>
      </xdr:nvSpPr>
      <xdr:spPr>
        <a:xfrm>
          <a:off x="10744199" y="5217709"/>
          <a:ext cx="314325" cy="8572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885824</xdr:colOff>
      <xdr:row>29</xdr:row>
      <xdr:rowOff>112309</xdr:rowOff>
    </xdr:from>
    <xdr:to>
      <xdr:col>12</xdr:col>
      <xdr:colOff>285749</xdr:colOff>
      <xdr:row>30</xdr:row>
      <xdr:rowOff>36109</xdr:rowOff>
    </xdr:to>
    <xdr:sp macro="" textlink="">
      <xdr:nvSpPr>
        <xdr:cNvPr id="13" name="Rectangle 12"/>
        <xdr:cNvSpPr/>
      </xdr:nvSpPr>
      <xdr:spPr>
        <a:xfrm>
          <a:off x="10725149" y="4884334"/>
          <a:ext cx="314325" cy="8572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14</xdr:row>
          <xdr:rowOff>152400</xdr:rowOff>
        </xdr:from>
        <xdr:to>
          <xdr:col>17</xdr:col>
          <xdr:colOff>50800</xdr:colOff>
          <xdr:row>32</xdr:row>
          <xdr:rowOff>88900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10</xdr:row>
      <xdr:rowOff>161925</xdr:rowOff>
    </xdr:from>
    <xdr:to>
      <xdr:col>6</xdr:col>
      <xdr:colOff>1724025</xdr:colOff>
      <xdr:row>40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28574</xdr:rowOff>
    </xdr:from>
    <xdr:to>
      <xdr:col>7</xdr:col>
      <xdr:colOff>632385</xdr:colOff>
      <xdr:row>1</xdr:row>
      <xdr:rowOff>66674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4"/>
          <a:ext cx="820476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19</xdr:row>
      <xdr:rowOff>28575</xdr:rowOff>
    </xdr:from>
    <xdr:to>
      <xdr:col>3</xdr:col>
      <xdr:colOff>38100</xdr:colOff>
      <xdr:row>22</xdr:row>
      <xdr:rowOff>152400</xdr:rowOff>
    </xdr:to>
    <xdr:pic>
      <xdr:nvPicPr>
        <xdr:cNvPr id="5" name="Picture 2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676650"/>
          <a:ext cx="19145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90</xdr:row>
      <xdr:rowOff>85725</xdr:rowOff>
    </xdr:from>
    <xdr:to>
      <xdr:col>6</xdr:col>
      <xdr:colOff>581025</xdr:colOff>
      <xdr:row>111</xdr:row>
      <xdr:rowOff>38100</xdr:rowOff>
    </xdr:to>
    <xdr:graphicFrame macro="">
      <xdr:nvGraphicFramePr>
        <xdr:cNvPr id="6" name="Chart 2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112</xdr:row>
      <xdr:rowOff>19050</xdr:rowOff>
    </xdr:from>
    <xdr:to>
      <xdr:col>6</xdr:col>
      <xdr:colOff>571500</xdr:colOff>
      <xdr:row>133</xdr:row>
      <xdr:rowOff>9525</xdr:rowOff>
    </xdr:to>
    <xdr:graphicFrame macro="">
      <xdr:nvGraphicFramePr>
        <xdr:cNvPr id="7" name="Chart 2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19050</xdr:colOff>
      <xdr:row>90</xdr:row>
      <xdr:rowOff>85725</xdr:rowOff>
    </xdr:from>
    <xdr:to>
      <xdr:col>13</xdr:col>
      <xdr:colOff>800100</xdr:colOff>
      <xdr:row>111</xdr:row>
      <xdr:rowOff>47625</xdr:rowOff>
    </xdr:to>
    <xdr:graphicFrame macro="">
      <xdr:nvGraphicFramePr>
        <xdr:cNvPr id="8" name="Chart 2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112</xdr:row>
      <xdr:rowOff>19050</xdr:rowOff>
    </xdr:from>
    <xdr:to>
      <xdr:col>14</xdr:col>
      <xdr:colOff>0</xdr:colOff>
      <xdr:row>133</xdr:row>
      <xdr:rowOff>19050</xdr:rowOff>
    </xdr:to>
    <xdr:graphicFrame macro="">
      <xdr:nvGraphicFramePr>
        <xdr:cNvPr id="9" name="Chart 2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666750</xdr:colOff>
      <xdr:row>66</xdr:row>
      <xdr:rowOff>180975</xdr:rowOff>
    </xdr:from>
    <xdr:to>
      <xdr:col>14</xdr:col>
      <xdr:colOff>104776</xdr:colOff>
      <xdr:row>88</xdr:row>
      <xdr:rowOff>0</xdr:rowOff>
    </xdr:to>
    <xdr:graphicFrame macro="">
      <xdr:nvGraphicFramePr>
        <xdr:cNvPr id="10" name="Chart 2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38100</xdr:colOff>
      <xdr:row>67</xdr:row>
      <xdr:rowOff>0</xdr:rowOff>
    </xdr:from>
    <xdr:to>
      <xdr:col>6</xdr:col>
      <xdr:colOff>561975</xdr:colOff>
      <xdr:row>88</xdr:row>
      <xdr:rowOff>19050</xdr:rowOff>
    </xdr:to>
    <xdr:graphicFrame macro="">
      <xdr:nvGraphicFramePr>
        <xdr:cNvPr id="11" name="Chart 2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133350</xdr:colOff>
      <xdr:row>37</xdr:row>
      <xdr:rowOff>19050</xdr:rowOff>
    </xdr:from>
    <xdr:to>
      <xdr:col>14</xdr:col>
      <xdr:colOff>457200</xdr:colOff>
      <xdr:row>56</xdr:row>
      <xdr:rowOff>0</xdr:rowOff>
    </xdr:to>
    <xdr:grpSp>
      <xdr:nvGrpSpPr>
        <xdr:cNvPr id="12" name="Group 237"/>
        <xdr:cNvGrpSpPr>
          <a:grpSpLocks/>
        </xdr:cNvGrpSpPr>
      </xdr:nvGrpSpPr>
      <xdr:grpSpPr bwMode="auto">
        <a:xfrm>
          <a:off x="6919913" y="7353300"/>
          <a:ext cx="5193506" cy="3600450"/>
          <a:chOff x="1576" y="1716"/>
          <a:chExt cx="2272" cy="1440"/>
        </a:xfrm>
      </xdr:grpSpPr>
      <xdr:grpSp>
        <xdr:nvGrpSpPr>
          <xdr:cNvPr id="13" name="Group 238"/>
          <xdr:cNvGrpSpPr>
            <a:grpSpLocks/>
          </xdr:cNvGrpSpPr>
        </xdr:nvGrpSpPr>
        <xdr:grpSpPr bwMode="auto">
          <a:xfrm>
            <a:off x="1596" y="1724"/>
            <a:ext cx="2220" cy="1392"/>
            <a:chOff x="1596" y="1724"/>
            <a:chExt cx="2220" cy="1392"/>
          </a:xfrm>
        </xdr:grpSpPr>
        <xdr:grpSp>
          <xdr:nvGrpSpPr>
            <xdr:cNvPr id="15" name="Group 239"/>
            <xdr:cNvGrpSpPr>
              <a:grpSpLocks/>
            </xdr:cNvGrpSpPr>
          </xdr:nvGrpSpPr>
          <xdr:grpSpPr bwMode="auto">
            <a:xfrm>
              <a:off x="2640" y="2460"/>
              <a:ext cx="289" cy="329"/>
              <a:chOff x="3083" y="3207"/>
              <a:chExt cx="289" cy="329"/>
            </a:xfrm>
          </xdr:grpSpPr>
          <xdr:sp macro="" textlink="">
            <xdr:nvSpPr>
              <xdr:cNvPr id="118" name="Freeform 240"/>
              <xdr:cNvSpPr>
                <a:spLocks/>
              </xdr:cNvSpPr>
            </xdr:nvSpPr>
            <xdr:spPr bwMode="auto">
              <a:xfrm>
                <a:off x="3083" y="3207"/>
                <a:ext cx="289" cy="329"/>
              </a:xfrm>
              <a:custGeom>
                <a:avLst/>
                <a:gdLst>
                  <a:gd name="T0" fmla="*/ 0 w 289"/>
                  <a:gd name="T1" fmla="*/ 164 h 329"/>
                  <a:gd name="T2" fmla="*/ 289 w 289"/>
                  <a:gd name="T3" fmla="*/ 0 h 329"/>
                  <a:gd name="T4" fmla="*/ 289 w 289"/>
                  <a:gd name="T5" fmla="*/ 329 h 329"/>
                  <a:gd name="T6" fmla="*/ 0 w 289"/>
                  <a:gd name="T7" fmla="*/ 164 h 329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289"/>
                  <a:gd name="T13" fmla="*/ 0 h 329"/>
                  <a:gd name="T14" fmla="*/ 289 w 289"/>
                  <a:gd name="T15" fmla="*/ 329 h 329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89" h="329">
                    <a:moveTo>
                      <a:pt x="0" y="164"/>
                    </a:moveTo>
                    <a:lnTo>
                      <a:pt x="289" y="0"/>
                    </a:lnTo>
                    <a:lnTo>
                      <a:pt x="289" y="329"/>
                    </a:lnTo>
                    <a:lnTo>
                      <a:pt x="0" y="164"/>
                    </a:lnTo>
                    <a:close/>
                  </a:path>
                </a:pathLst>
              </a:cu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9" name="Freeform 241"/>
              <xdr:cNvSpPr>
                <a:spLocks/>
              </xdr:cNvSpPr>
            </xdr:nvSpPr>
            <xdr:spPr bwMode="auto">
              <a:xfrm>
                <a:off x="3083" y="3207"/>
                <a:ext cx="289" cy="329"/>
              </a:xfrm>
              <a:custGeom>
                <a:avLst/>
                <a:gdLst>
                  <a:gd name="T0" fmla="*/ 0 w 289"/>
                  <a:gd name="T1" fmla="*/ 164 h 329"/>
                  <a:gd name="T2" fmla="*/ 289 w 289"/>
                  <a:gd name="T3" fmla="*/ 0 h 329"/>
                  <a:gd name="T4" fmla="*/ 289 w 289"/>
                  <a:gd name="T5" fmla="*/ 329 h 329"/>
                  <a:gd name="T6" fmla="*/ 0 w 289"/>
                  <a:gd name="T7" fmla="*/ 164 h 329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289"/>
                  <a:gd name="T13" fmla="*/ 0 h 329"/>
                  <a:gd name="T14" fmla="*/ 289 w 289"/>
                  <a:gd name="T15" fmla="*/ 329 h 329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89" h="329">
                    <a:moveTo>
                      <a:pt x="0" y="164"/>
                    </a:moveTo>
                    <a:lnTo>
                      <a:pt x="289" y="0"/>
                    </a:lnTo>
                    <a:lnTo>
                      <a:pt x="289" y="329"/>
                    </a:lnTo>
                    <a:lnTo>
                      <a:pt x="0" y="164"/>
                    </a:lnTo>
                    <a:close/>
                  </a:path>
                </a:pathLst>
              </a:custGeom>
              <a:noFill/>
              <a:ln w="12700" cap="rnd">
                <a:solidFill>
                  <a:srgbClr val="000000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  <xdr:sp macro="" textlink="">
          <xdr:nvSpPr>
            <xdr:cNvPr id="16" name="Line 242"/>
            <xdr:cNvSpPr>
              <a:spLocks noChangeShapeType="1"/>
            </xdr:cNvSpPr>
          </xdr:nvSpPr>
          <xdr:spPr bwMode="auto">
            <a:xfrm>
              <a:off x="2931" y="2709"/>
              <a:ext cx="218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" name="Line 243"/>
            <xdr:cNvSpPr>
              <a:spLocks noChangeShapeType="1"/>
            </xdr:cNvSpPr>
          </xdr:nvSpPr>
          <xdr:spPr bwMode="auto">
            <a:xfrm flipH="1">
              <a:off x="1891" y="2623"/>
              <a:ext cx="758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" name="Line 244"/>
            <xdr:cNvSpPr>
              <a:spLocks noChangeShapeType="1"/>
            </xdr:cNvSpPr>
          </xdr:nvSpPr>
          <xdr:spPr bwMode="auto">
            <a:xfrm>
              <a:off x="2929" y="2539"/>
              <a:ext cx="120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" name="Rectangle 245"/>
            <xdr:cNvSpPr>
              <a:spLocks noChangeArrowheads="1"/>
            </xdr:cNvSpPr>
          </xdr:nvSpPr>
          <xdr:spPr bwMode="auto">
            <a:xfrm>
              <a:off x="2874" y="2676"/>
              <a:ext cx="41" cy="7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sp macro="" textlink="">
          <xdr:nvSpPr>
            <xdr:cNvPr id="20" name="Rectangle 246"/>
            <xdr:cNvSpPr>
              <a:spLocks noChangeArrowheads="1"/>
            </xdr:cNvSpPr>
          </xdr:nvSpPr>
          <xdr:spPr bwMode="auto">
            <a:xfrm>
              <a:off x="2894" y="2497"/>
              <a:ext cx="20" cy="8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grpSp>
          <xdr:nvGrpSpPr>
            <xdr:cNvPr id="21" name="Group 247"/>
            <xdr:cNvGrpSpPr>
              <a:grpSpLocks/>
            </xdr:cNvGrpSpPr>
          </xdr:nvGrpSpPr>
          <xdr:grpSpPr bwMode="auto">
            <a:xfrm>
              <a:off x="2640" y="2460"/>
              <a:ext cx="289" cy="329"/>
              <a:chOff x="3083" y="3207"/>
              <a:chExt cx="289" cy="329"/>
            </a:xfrm>
          </xdr:grpSpPr>
          <xdr:sp macro="" textlink="">
            <xdr:nvSpPr>
              <xdr:cNvPr id="116" name="Freeform 248"/>
              <xdr:cNvSpPr>
                <a:spLocks/>
              </xdr:cNvSpPr>
            </xdr:nvSpPr>
            <xdr:spPr bwMode="auto">
              <a:xfrm>
                <a:off x="3083" y="3207"/>
                <a:ext cx="289" cy="329"/>
              </a:xfrm>
              <a:custGeom>
                <a:avLst/>
                <a:gdLst>
                  <a:gd name="T0" fmla="*/ 0 w 289"/>
                  <a:gd name="T1" fmla="*/ 164 h 329"/>
                  <a:gd name="T2" fmla="*/ 289 w 289"/>
                  <a:gd name="T3" fmla="*/ 0 h 329"/>
                  <a:gd name="T4" fmla="*/ 289 w 289"/>
                  <a:gd name="T5" fmla="*/ 329 h 329"/>
                  <a:gd name="T6" fmla="*/ 0 w 289"/>
                  <a:gd name="T7" fmla="*/ 164 h 329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289"/>
                  <a:gd name="T13" fmla="*/ 0 h 329"/>
                  <a:gd name="T14" fmla="*/ 289 w 289"/>
                  <a:gd name="T15" fmla="*/ 329 h 329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89" h="329">
                    <a:moveTo>
                      <a:pt x="0" y="164"/>
                    </a:moveTo>
                    <a:lnTo>
                      <a:pt x="289" y="0"/>
                    </a:lnTo>
                    <a:lnTo>
                      <a:pt x="289" y="329"/>
                    </a:lnTo>
                    <a:lnTo>
                      <a:pt x="0" y="164"/>
                    </a:lnTo>
                    <a:close/>
                  </a:path>
                </a:pathLst>
              </a:cu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7" name="Freeform 249"/>
              <xdr:cNvSpPr>
                <a:spLocks/>
              </xdr:cNvSpPr>
            </xdr:nvSpPr>
            <xdr:spPr bwMode="auto">
              <a:xfrm>
                <a:off x="3083" y="3207"/>
                <a:ext cx="289" cy="329"/>
              </a:xfrm>
              <a:custGeom>
                <a:avLst/>
                <a:gdLst>
                  <a:gd name="T0" fmla="*/ 0 w 289"/>
                  <a:gd name="T1" fmla="*/ 164 h 329"/>
                  <a:gd name="T2" fmla="*/ 289 w 289"/>
                  <a:gd name="T3" fmla="*/ 0 h 329"/>
                  <a:gd name="T4" fmla="*/ 289 w 289"/>
                  <a:gd name="T5" fmla="*/ 329 h 329"/>
                  <a:gd name="T6" fmla="*/ 0 w 289"/>
                  <a:gd name="T7" fmla="*/ 164 h 329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289"/>
                  <a:gd name="T13" fmla="*/ 0 h 329"/>
                  <a:gd name="T14" fmla="*/ 289 w 289"/>
                  <a:gd name="T15" fmla="*/ 329 h 329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89" h="329">
                    <a:moveTo>
                      <a:pt x="0" y="164"/>
                    </a:moveTo>
                    <a:lnTo>
                      <a:pt x="289" y="0"/>
                    </a:lnTo>
                    <a:lnTo>
                      <a:pt x="289" y="329"/>
                    </a:lnTo>
                    <a:lnTo>
                      <a:pt x="0" y="164"/>
                    </a:lnTo>
                    <a:close/>
                  </a:path>
                </a:pathLst>
              </a:custGeom>
              <a:noFill/>
              <a:ln w="12700" cap="rnd">
                <a:solidFill>
                  <a:srgbClr val="000000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  <xdr:sp macro="" textlink="">
          <xdr:nvSpPr>
            <xdr:cNvPr id="22" name="Line 250"/>
            <xdr:cNvSpPr>
              <a:spLocks noChangeShapeType="1"/>
            </xdr:cNvSpPr>
          </xdr:nvSpPr>
          <xdr:spPr bwMode="auto">
            <a:xfrm>
              <a:off x="2931" y="2709"/>
              <a:ext cx="218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3" name="Line 251"/>
            <xdr:cNvSpPr>
              <a:spLocks noChangeShapeType="1"/>
            </xdr:cNvSpPr>
          </xdr:nvSpPr>
          <xdr:spPr bwMode="auto">
            <a:xfrm>
              <a:off x="2929" y="2539"/>
              <a:ext cx="120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4" name="Rectangle 252"/>
            <xdr:cNvSpPr>
              <a:spLocks noChangeArrowheads="1"/>
            </xdr:cNvSpPr>
          </xdr:nvSpPr>
          <xdr:spPr bwMode="auto">
            <a:xfrm>
              <a:off x="2874" y="2676"/>
              <a:ext cx="41" cy="7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sp macro="" textlink="">
          <xdr:nvSpPr>
            <xdr:cNvPr id="25" name="Rectangle 253"/>
            <xdr:cNvSpPr>
              <a:spLocks noChangeArrowheads="1"/>
            </xdr:cNvSpPr>
          </xdr:nvSpPr>
          <xdr:spPr bwMode="auto">
            <a:xfrm>
              <a:off x="2894" y="2497"/>
              <a:ext cx="20" cy="8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grpSp>
          <xdr:nvGrpSpPr>
            <xdr:cNvPr id="26" name="Group 254"/>
            <xdr:cNvGrpSpPr>
              <a:grpSpLocks/>
            </xdr:cNvGrpSpPr>
          </xdr:nvGrpSpPr>
          <xdr:grpSpPr bwMode="auto">
            <a:xfrm>
              <a:off x="2640" y="2460"/>
              <a:ext cx="289" cy="329"/>
              <a:chOff x="3083" y="3207"/>
              <a:chExt cx="289" cy="329"/>
            </a:xfrm>
          </xdr:grpSpPr>
          <xdr:sp macro="" textlink="">
            <xdr:nvSpPr>
              <xdr:cNvPr id="114" name="Freeform 255"/>
              <xdr:cNvSpPr>
                <a:spLocks/>
              </xdr:cNvSpPr>
            </xdr:nvSpPr>
            <xdr:spPr bwMode="auto">
              <a:xfrm>
                <a:off x="3083" y="3207"/>
                <a:ext cx="289" cy="329"/>
              </a:xfrm>
              <a:custGeom>
                <a:avLst/>
                <a:gdLst>
                  <a:gd name="T0" fmla="*/ 0 w 289"/>
                  <a:gd name="T1" fmla="*/ 164 h 329"/>
                  <a:gd name="T2" fmla="*/ 289 w 289"/>
                  <a:gd name="T3" fmla="*/ 0 h 329"/>
                  <a:gd name="T4" fmla="*/ 289 w 289"/>
                  <a:gd name="T5" fmla="*/ 329 h 329"/>
                  <a:gd name="T6" fmla="*/ 0 w 289"/>
                  <a:gd name="T7" fmla="*/ 164 h 329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289"/>
                  <a:gd name="T13" fmla="*/ 0 h 329"/>
                  <a:gd name="T14" fmla="*/ 289 w 289"/>
                  <a:gd name="T15" fmla="*/ 329 h 329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89" h="329">
                    <a:moveTo>
                      <a:pt x="0" y="164"/>
                    </a:moveTo>
                    <a:lnTo>
                      <a:pt x="289" y="0"/>
                    </a:lnTo>
                    <a:lnTo>
                      <a:pt x="289" y="329"/>
                    </a:lnTo>
                    <a:lnTo>
                      <a:pt x="0" y="164"/>
                    </a:lnTo>
                    <a:close/>
                  </a:path>
                </a:pathLst>
              </a:cu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5" name="Freeform 256"/>
              <xdr:cNvSpPr>
                <a:spLocks/>
              </xdr:cNvSpPr>
            </xdr:nvSpPr>
            <xdr:spPr bwMode="auto">
              <a:xfrm>
                <a:off x="3083" y="3207"/>
                <a:ext cx="289" cy="329"/>
              </a:xfrm>
              <a:custGeom>
                <a:avLst/>
                <a:gdLst>
                  <a:gd name="T0" fmla="*/ 0 w 289"/>
                  <a:gd name="T1" fmla="*/ 164 h 329"/>
                  <a:gd name="T2" fmla="*/ 289 w 289"/>
                  <a:gd name="T3" fmla="*/ 0 h 329"/>
                  <a:gd name="T4" fmla="*/ 289 w 289"/>
                  <a:gd name="T5" fmla="*/ 329 h 329"/>
                  <a:gd name="T6" fmla="*/ 0 w 289"/>
                  <a:gd name="T7" fmla="*/ 164 h 329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289"/>
                  <a:gd name="T13" fmla="*/ 0 h 329"/>
                  <a:gd name="T14" fmla="*/ 289 w 289"/>
                  <a:gd name="T15" fmla="*/ 329 h 329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89" h="329">
                    <a:moveTo>
                      <a:pt x="0" y="164"/>
                    </a:moveTo>
                    <a:lnTo>
                      <a:pt x="289" y="0"/>
                    </a:lnTo>
                    <a:lnTo>
                      <a:pt x="289" y="329"/>
                    </a:lnTo>
                    <a:lnTo>
                      <a:pt x="0" y="164"/>
                    </a:lnTo>
                    <a:close/>
                  </a:path>
                </a:pathLst>
              </a:custGeom>
              <a:noFill/>
              <a:ln w="12700" cap="rnd">
                <a:solidFill>
                  <a:srgbClr val="000000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  <xdr:sp macro="" textlink="">
          <xdr:nvSpPr>
            <xdr:cNvPr id="27" name="Line 257"/>
            <xdr:cNvSpPr>
              <a:spLocks noChangeShapeType="1"/>
            </xdr:cNvSpPr>
          </xdr:nvSpPr>
          <xdr:spPr bwMode="auto">
            <a:xfrm>
              <a:off x="2931" y="2709"/>
              <a:ext cx="218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8" name="Line 258"/>
            <xdr:cNvSpPr>
              <a:spLocks noChangeShapeType="1"/>
            </xdr:cNvSpPr>
          </xdr:nvSpPr>
          <xdr:spPr bwMode="auto">
            <a:xfrm>
              <a:off x="2929" y="2539"/>
              <a:ext cx="516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9" name="Rectangle 259"/>
            <xdr:cNvSpPr>
              <a:spLocks noChangeArrowheads="1"/>
            </xdr:cNvSpPr>
          </xdr:nvSpPr>
          <xdr:spPr bwMode="auto">
            <a:xfrm>
              <a:off x="2976" y="2554"/>
              <a:ext cx="90" cy="8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FB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sp macro="" textlink="">
          <xdr:nvSpPr>
            <xdr:cNvPr id="30" name="Rectangle 260"/>
            <xdr:cNvSpPr>
              <a:spLocks noChangeArrowheads="1"/>
            </xdr:cNvSpPr>
          </xdr:nvSpPr>
          <xdr:spPr bwMode="auto">
            <a:xfrm>
              <a:off x="2874" y="2676"/>
              <a:ext cx="41" cy="7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sp macro="" textlink="">
          <xdr:nvSpPr>
            <xdr:cNvPr id="31" name="Rectangle 261"/>
            <xdr:cNvSpPr>
              <a:spLocks noChangeArrowheads="1"/>
            </xdr:cNvSpPr>
          </xdr:nvSpPr>
          <xdr:spPr bwMode="auto">
            <a:xfrm>
              <a:off x="2894" y="2497"/>
              <a:ext cx="20" cy="8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sp macro="" textlink="">
          <xdr:nvSpPr>
            <xdr:cNvPr id="32" name="Rectangle 262"/>
            <xdr:cNvSpPr>
              <a:spLocks noChangeArrowheads="1"/>
            </xdr:cNvSpPr>
          </xdr:nvSpPr>
          <xdr:spPr bwMode="auto">
            <a:xfrm>
              <a:off x="2951" y="2726"/>
              <a:ext cx="188" cy="9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VREF</a:t>
              </a:r>
              <a:endParaRPr lang="en-US" sz="9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9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grpSp>
          <xdr:nvGrpSpPr>
            <xdr:cNvPr id="33" name="Group 263"/>
            <xdr:cNvGrpSpPr>
              <a:grpSpLocks/>
            </xdr:cNvGrpSpPr>
          </xdr:nvGrpSpPr>
          <xdr:grpSpPr bwMode="auto">
            <a:xfrm>
              <a:off x="2640" y="2460"/>
              <a:ext cx="289" cy="329"/>
              <a:chOff x="3083" y="3207"/>
              <a:chExt cx="289" cy="329"/>
            </a:xfrm>
          </xdr:grpSpPr>
          <xdr:sp macro="" textlink="">
            <xdr:nvSpPr>
              <xdr:cNvPr id="112" name="Freeform 264"/>
              <xdr:cNvSpPr>
                <a:spLocks/>
              </xdr:cNvSpPr>
            </xdr:nvSpPr>
            <xdr:spPr bwMode="auto">
              <a:xfrm>
                <a:off x="3083" y="3207"/>
                <a:ext cx="289" cy="329"/>
              </a:xfrm>
              <a:custGeom>
                <a:avLst/>
                <a:gdLst>
                  <a:gd name="T0" fmla="*/ 0 w 289"/>
                  <a:gd name="T1" fmla="*/ 164 h 329"/>
                  <a:gd name="T2" fmla="*/ 289 w 289"/>
                  <a:gd name="T3" fmla="*/ 0 h 329"/>
                  <a:gd name="T4" fmla="*/ 289 w 289"/>
                  <a:gd name="T5" fmla="*/ 329 h 329"/>
                  <a:gd name="T6" fmla="*/ 0 w 289"/>
                  <a:gd name="T7" fmla="*/ 164 h 329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289"/>
                  <a:gd name="T13" fmla="*/ 0 h 329"/>
                  <a:gd name="T14" fmla="*/ 289 w 289"/>
                  <a:gd name="T15" fmla="*/ 329 h 329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89" h="329">
                    <a:moveTo>
                      <a:pt x="0" y="164"/>
                    </a:moveTo>
                    <a:lnTo>
                      <a:pt x="289" y="0"/>
                    </a:lnTo>
                    <a:lnTo>
                      <a:pt x="289" y="329"/>
                    </a:lnTo>
                    <a:lnTo>
                      <a:pt x="0" y="164"/>
                    </a:lnTo>
                    <a:close/>
                  </a:path>
                </a:pathLst>
              </a:cu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" name="Freeform 265"/>
              <xdr:cNvSpPr>
                <a:spLocks/>
              </xdr:cNvSpPr>
            </xdr:nvSpPr>
            <xdr:spPr bwMode="auto">
              <a:xfrm>
                <a:off x="3083" y="3207"/>
                <a:ext cx="289" cy="329"/>
              </a:xfrm>
              <a:custGeom>
                <a:avLst/>
                <a:gdLst>
                  <a:gd name="T0" fmla="*/ 0 w 289"/>
                  <a:gd name="T1" fmla="*/ 164 h 329"/>
                  <a:gd name="T2" fmla="*/ 289 w 289"/>
                  <a:gd name="T3" fmla="*/ 0 h 329"/>
                  <a:gd name="T4" fmla="*/ 289 w 289"/>
                  <a:gd name="T5" fmla="*/ 329 h 329"/>
                  <a:gd name="T6" fmla="*/ 0 w 289"/>
                  <a:gd name="T7" fmla="*/ 164 h 329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289"/>
                  <a:gd name="T13" fmla="*/ 0 h 329"/>
                  <a:gd name="T14" fmla="*/ 289 w 289"/>
                  <a:gd name="T15" fmla="*/ 329 h 329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89" h="329">
                    <a:moveTo>
                      <a:pt x="0" y="164"/>
                    </a:moveTo>
                    <a:lnTo>
                      <a:pt x="289" y="0"/>
                    </a:lnTo>
                    <a:lnTo>
                      <a:pt x="289" y="329"/>
                    </a:lnTo>
                    <a:lnTo>
                      <a:pt x="0" y="164"/>
                    </a:lnTo>
                    <a:close/>
                  </a:path>
                </a:pathLst>
              </a:custGeom>
              <a:noFill/>
              <a:ln w="12700" cap="rnd">
                <a:solidFill>
                  <a:srgbClr val="000000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  <xdr:sp macro="" textlink="">
          <xdr:nvSpPr>
            <xdr:cNvPr id="34" name="Line 266"/>
            <xdr:cNvSpPr>
              <a:spLocks noChangeShapeType="1"/>
            </xdr:cNvSpPr>
          </xdr:nvSpPr>
          <xdr:spPr bwMode="auto">
            <a:xfrm>
              <a:off x="2931" y="2709"/>
              <a:ext cx="218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5" name="Rectangle 267"/>
            <xdr:cNvSpPr>
              <a:spLocks noChangeArrowheads="1"/>
            </xdr:cNvSpPr>
          </xdr:nvSpPr>
          <xdr:spPr bwMode="auto">
            <a:xfrm>
              <a:off x="1949" y="2638"/>
              <a:ext cx="262" cy="8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VCOMP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sp macro="" textlink="">
          <xdr:nvSpPr>
            <xdr:cNvPr id="36" name="Rectangle 268"/>
            <xdr:cNvSpPr>
              <a:spLocks noChangeArrowheads="1"/>
            </xdr:cNvSpPr>
          </xdr:nvSpPr>
          <xdr:spPr bwMode="auto">
            <a:xfrm>
              <a:off x="2874" y="2676"/>
              <a:ext cx="41" cy="7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sp macro="" textlink="">
          <xdr:nvSpPr>
            <xdr:cNvPr id="37" name="Rectangle 269"/>
            <xdr:cNvSpPr>
              <a:spLocks noChangeArrowheads="1"/>
            </xdr:cNvSpPr>
          </xdr:nvSpPr>
          <xdr:spPr bwMode="auto">
            <a:xfrm>
              <a:off x="2894" y="2497"/>
              <a:ext cx="20" cy="8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sp macro="" textlink="">
          <xdr:nvSpPr>
            <xdr:cNvPr id="38" name="Freeform 270"/>
            <xdr:cNvSpPr>
              <a:spLocks/>
            </xdr:cNvSpPr>
          </xdr:nvSpPr>
          <xdr:spPr bwMode="auto">
            <a:xfrm>
              <a:off x="3424" y="2748"/>
              <a:ext cx="62" cy="109"/>
            </a:xfrm>
            <a:custGeom>
              <a:avLst/>
              <a:gdLst>
                <a:gd name="T0" fmla="*/ 1 w 122"/>
                <a:gd name="T1" fmla="*/ 0 h 256"/>
                <a:gd name="T2" fmla="*/ 1 w 122"/>
                <a:gd name="T3" fmla="*/ 0 h 256"/>
                <a:gd name="T4" fmla="*/ 0 w 122"/>
                <a:gd name="T5" fmla="*/ 0 h 256"/>
                <a:gd name="T6" fmla="*/ 1 w 122"/>
                <a:gd name="T7" fmla="*/ 0 h 256"/>
                <a:gd name="T8" fmla="*/ 0 w 122"/>
                <a:gd name="T9" fmla="*/ 0 h 256"/>
                <a:gd name="T10" fmla="*/ 1 w 122"/>
                <a:gd name="T11" fmla="*/ 0 h 256"/>
                <a:gd name="T12" fmla="*/ 0 w 122"/>
                <a:gd name="T13" fmla="*/ 0 h 256"/>
                <a:gd name="T14" fmla="*/ 1 w 122"/>
                <a:gd name="T15" fmla="*/ 0 h 25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122"/>
                <a:gd name="T25" fmla="*/ 0 h 256"/>
                <a:gd name="T26" fmla="*/ 122 w 122"/>
                <a:gd name="T27" fmla="*/ 256 h 256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122" h="256">
                  <a:moveTo>
                    <a:pt x="60" y="0"/>
                  </a:moveTo>
                  <a:lnTo>
                    <a:pt x="122" y="22"/>
                  </a:lnTo>
                  <a:lnTo>
                    <a:pt x="0" y="63"/>
                  </a:lnTo>
                  <a:lnTo>
                    <a:pt x="122" y="106"/>
                  </a:lnTo>
                  <a:lnTo>
                    <a:pt x="0" y="150"/>
                  </a:lnTo>
                  <a:lnTo>
                    <a:pt x="122" y="191"/>
                  </a:lnTo>
                  <a:lnTo>
                    <a:pt x="0" y="235"/>
                  </a:lnTo>
                  <a:lnTo>
                    <a:pt x="60" y="256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9" name="Freeform 271"/>
            <xdr:cNvSpPr>
              <a:spLocks/>
            </xdr:cNvSpPr>
          </xdr:nvSpPr>
          <xdr:spPr bwMode="auto">
            <a:xfrm>
              <a:off x="3408" y="2168"/>
              <a:ext cx="62" cy="109"/>
            </a:xfrm>
            <a:custGeom>
              <a:avLst/>
              <a:gdLst>
                <a:gd name="T0" fmla="*/ 1 w 122"/>
                <a:gd name="T1" fmla="*/ 0 h 256"/>
                <a:gd name="T2" fmla="*/ 1 w 122"/>
                <a:gd name="T3" fmla="*/ 0 h 256"/>
                <a:gd name="T4" fmla="*/ 0 w 122"/>
                <a:gd name="T5" fmla="*/ 0 h 256"/>
                <a:gd name="T6" fmla="*/ 1 w 122"/>
                <a:gd name="T7" fmla="*/ 0 h 256"/>
                <a:gd name="T8" fmla="*/ 0 w 122"/>
                <a:gd name="T9" fmla="*/ 0 h 256"/>
                <a:gd name="T10" fmla="*/ 1 w 122"/>
                <a:gd name="T11" fmla="*/ 0 h 256"/>
                <a:gd name="T12" fmla="*/ 0 w 122"/>
                <a:gd name="T13" fmla="*/ 0 h 256"/>
                <a:gd name="T14" fmla="*/ 1 w 122"/>
                <a:gd name="T15" fmla="*/ 0 h 25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122"/>
                <a:gd name="T25" fmla="*/ 0 h 256"/>
                <a:gd name="T26" fmla="*/ 122 w 122"/>
                <a:gd name="T27" fmla="*/ 256 h 256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122" h="256">
                  <a:moveTo>
                    <a:pt x="60" y="0"/>
                  </a:moveTo>
                  <a:lnTo>
                    <a:pt x="122" y="22"/>
                  </a:lnTo>
                  <a:lnTo>
                    <a:pt x="0" y="63"/>
                  </a:lnTo>
                  <a:lnTo>
                    <a:pt x="122" y="106"/>
                  </a:lnTo>
                  <a:lnTo>
                    <a:pt x="0" y="150"/>
                  </a:lnTo>
                  <a:lnTo>
                    <a:pt x="122" y="191"/>
                  </a:lnTo>
                  <a:lnTo>
                    <a:pt x="0" y="235"/>
                  </a:lnTo>
                  <a:lnTo>
                    <a:pt x="60" y="256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grpSp>
          <xdr:nvGrpSpPr>
            <xdr:cNvPr id="40" name="Group 272"/>
            <xdr:cNvGrpSpPr>
              <a:grpSpLocks/>
            </xdr:cNvGrpSpPr>
          </xdr:nvGrpSpPr>
          <xdr:grpSpPr bwMode="auto">
            <a:xfrm rot="10800000">
              <a:off x="2496" y="2828"/>
              <a:ext cx="104" cy="212"/>
              <a:chOff x="2272" y="2612"/>
              <a:chExt cx="104" cy="212"/>
            </a:xfrm>
          </xdr:grpSpPr>
          <xdr:sp macro="" textlink="">
            <xdr:nvSpPr>
              <xdr:cNvPr id="108" name="Line 273"/>
              <xdr:cNvSpPr>
                <a:spLocks noChangeShapeType="1"/>
              </xdr:cNvSpPr>
            </xdr:nvSpPr>
            <xdr:spPr bwMode="auto">
              <a:xfrm>
                <a:off x="2324" y="2612"/>
                <a:ext cx="0" cy="88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" name="Line 274"/>
              <xdr:cNvSpPr>
                <a:spLocks noChangeShapeType="1"/>
              </xdr:cNvSpPr>
            </xdr:nvSpPr>
            <xdr:spPr bwMode="auto">
              <a:xfrm>
                <a:off x="2272" y="2700"/>
                <a:ext cx="104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" name="Line 275"/>
              <xdr:cNvSpPr>
                <a:spLocks noChangeShapeType="1"/>
              </xdr:cNvSpPr>
            </xdr:nvSpPr>
            <xdr:spPr bwMode="auto">
              <a:xfrm>
                <a:off x="2272" y="2744"/>
                <a:ext cx="104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1" name="Line 276"/>
              <xdr:cNvSpPr>
                <a:spLocks noChangeShapeType="1"/>
              </xdr:cNvSpPr>
            </xdr:nvSpPr>
            <xdr:spPr bwMode="auto">
              <a:xfrm>
                <a:off x="2324" y="2744"/>
                <a:ext cx="0" cy="8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grpSp>
          <xdr:nvGrpSpPr>
            <xdr:cNvPr id="41" name="Group 277"/>
            <xdr:cNvGrpSpPr>
              <a:grpSpLocks/>
            </xdr:cNvGrpSpPr>
          </xdr:nvGrpSpPr>
          <xdr:grpSpPr bwMode="auto">
            <a:xfrm>
              <a:off x="3564" y="2120"/>
              <a:ext cx="104" cy="212"/>
              <a:chOff x="2272" y="2612"/>
              <a:chExt cx="104" cy="212"/>
            </a:xfrm>
          </xdr:grpSpPr>
          <xdr:sp macro="" textlink="">
            <xdr:nvSpPr>
              <xdr:cNvPr id="104" name="Line 278"/>
              <xdr:cNvSpPr>
                <a:spLocks noChangeShapeType="1"/>
              </xdr:cNvSpPr>
            </xdr:nvSpPr>
            <xdr:spPr bwMode="auto">
              <a:xfrm>
                <a:off x="2324" y="2612"/>
                <a:ext cx="0" cy="88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5" name="Line 279"/>
              <xdr:cNvSpPr>
                <a:spLocks noChangeShapeType="1"/>
              </xdr:cNvSpPr>
            </xdr:nvSpPr>
            <xdr:spPr bwMode="auto">
              <a:xfrm>
                <a:off x="2272" y="2700"/>
                <a:ext cx="104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6" name="Line 280"/>
              <xdr:cNvSpPr>
                <a:spLocks noChangeShapeType="1"/>
              </xdr:cNvSpPr>
            </xdr:nvSpPr>
            <xdr:spPr bwMode="auto">
              <a:xfrm>
                <a:off x="2272" y="2744"/>
                <a:ext cx="104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" name="Line 281"/>
              <xdr:cNvSpPr>
                <a:spLocks noChangeShapeType="1"/>
              </xdr:cNvSpPr>
            </xdr:nvSpPr>
            <xdr:spPr bwMode="auto">
              <a:xfrm>
                <a:off x="2324" y="2744"/>
                <a:ext cx="0" cy="8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sp macro="" textlink="">
          <xdr:nvSpPr>
            <xdr:cNvPr id="42" name="Freeform 282"/>
            <xdr:cNvSpPr>
              <a:spLocks/>
            </xdr:cNvSpPr>
          </xdr:nvSpPr>
          <xdr:spPr bwMode="auto">
            <a:xfrm rot="10800000">
              <a:off x="2516" y="2712"/>
              <a:ext cx="62" cy="109"/>
            </a:xfrm>
            <a:custGeom>
              <a:avLst/>
              <a:gdLst>
                <a:gd name="T0" fmla="*/ 1 w 122"/>
                <a:gd name="T1" fmla="*/ 0 h 256"/>
                <a:gd name="T2" fmla="*/ 1 w 122"/>
                <a:gd name="T3" fmla="*/ 0 h 256"/>
                <a:gd name="T4" fmla="*/ 0 w 122"/>
                <a:gd name="T5" fmla="*/ 0 h 256"/>
                <a:gd name="T6" fmla="*/ 1 w 122"/>
                <a:gd name="T7" fmla="*/ 0 h 256"/>
                <a:gd name="T8" fmla="*/ 0 w 122"/>
                <a:gd name="T9" fmla="*/ 0 h 256"/>
                <a:gd name="T10" fmla="*/ 1 w 122"/>
                <a:gd name="T11" fmla="*/ 0 h 256"/>
                <a:gd name="T12" fmla="*/ 0 w 122"/>
                <a:gd name="T13" fmla="*/ 0 h 256"/>
                <a:gd name="T14" fmla="*/ 1 w 122"/>
                <a:gd name="T15" fmla="*/ 0 h 25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122"/>
                <a:gd name="T25" fmla="*/ 0 h 256"/>
                <a:gd name="T26" fmla="*/ 122 w 122"/>
                <a:gd name="T27" fmla="*/ 256 h 256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122" h="256">
                  <a:moveTo>
                    <a:pt x="60" y="0"/>
                  </a:moveTo>
                  <a:lnTo>
                    <a:pt x="122" y="22"/>
                  </a:lnTo>
                  <a:lnTo>
                    <a:pt x="0" y="63"/>
                  </a:lnTo>
                  <a:lnTo>
                    <a:pt x="122" y="106"/>
                  </a:lnTo>
                  <a:lnTo>
                    <a:pt x="0" y="150"/>
                  </a:lnTo>
                  <a:lnTo>
                    <a:pt x="122" y="191"/>
                  </a:lnTo>
                  <a:lnTo>
                    <a:pt x="0" y="235"/>
                  </a:lnTo>
                  <a:lnTo>
                    <a:pt x="60" y="256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3" name="Line 283"/>
            <xdr:cNvSpPr>
              <a:spLocks noChangeShapeType="1"/>
            </xdr:cNvSpPr>
          </xdr:nvSpPr>
          <xdr:spPr bwMode="auto">
            <a:xfrm>
              <a:off x="2548" y="2620"/>
              <a:ext cx="0" cy="9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4" name="Oval 284"/>
            <xdr:cNvSpPr>
              <a:spLocks noChangeArrowheads="1"/>
            </xdr:cNvSpPr>
          </xdr:nvSpPr>
          <xdr:spPr bwMode="auto">
            <a:xfrm>
              <a:off x="2528" y="2604"/>
              <a:ext cx="40" cy="40"/>
            </a:xfrm>
            <a:prstGeom prst="ellipse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5" name="Line 285"/>
            <xdr:cNvSpPr>
              <a:spLocks noChangeShapeType="1"/>
            </xdr:cNvSpPr>
          </xdr:nvSpPr>
          <xdr:spPr bwMode="auto">
            <a:xfrm>
              <a:off x="3444" y="2276"/>
              <a:ext cx="4" cy="468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6" name="Line 286"/>
            <xdr:cNvSpPr>
              <a:spLocks noChangeShapeType="1"/>
            </xdr:cNvSpPr>
          </xdr:nvSpPr>
          <xdr:spPr bwMode="auto">
            <a:xfrm>
              <a:off x="3452" y="2864"/>
              <a:ext cx="0" cy="136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7" name="Line 287"/>
            <xdr:cNvSpPr>
              <a:spLocks noChangeShapeType="1"/>
            </xdr:cNvSpPr>
          </xdr:nvSpPr>
          <xdr:spPr bwMode="auto">
            <a:xfrm>
              <a:off x="3400" y="3004"/>
              <a:ext cx="108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" name="Line 288"/>
            <xdr:cNvSpPr>
              <a:spLocks noChangeShapeType="1"/>
            </xdr:cNvSpPr>
          </xdr:nvSpPr>
          <xdr:spPr bwMode="auto">
            <a:xfrm>
              <a:off x="3424" y="3024"/>
              <a:ext cx="52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" name="Line 289"/>
            <xdr:cNvSpPr>
              <a:spLocks noChangeShapeType="1"/>
            </xdr:cNvSpPr>
          </xdr:nvSpPr>
          <xdr:spPr bwMode="auto">
            <a:xfrm>
              <a:off x="3440" y="3044"/>
              <a:ext cx="20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0" name="Line 290"/>
            <xdr:cNvSpPr>
              <a:spLocks noChangeShapeType="1"/>
            </xdr:cNvSpPr>
          </xdr:nvSpPr>
          <xdr:spPr bwMode="auto">
            <a:xfrm>
              <a:off x="3448" y="2540"/>
              <a:ext cx="168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1" name="Line 291"/>
            <xdr:cNvSpPr>
              <a:spLocks noChangeShapeType="1"/>
            </xdr:cNvSpPr>
          </xdr:nvSpPr>
          <xdr:spPr bwMode="auto">
            <a:xfrm flipV="1">
              <a:off x="3616" y="2320"/>
              <a:ext cx="0" cy="22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2" name="Line 292"/>
            <xdr:cNvSpPr>
              <a:spLocks noChangeShapeType="1"/>
            </xdr:cNvSpPr>
          </xdr:nvSpPr>
          <xdr:spPr bwMode="auto">
            <a:xfrm flipV="1">
              <a:off x="3440" y="1904"/>
              <a:ext cx="0" cy="26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3" name="Line 293"/>
            <xdr:cNvSpPr>
              <a:spLocks noChangeShapeType="1"/>
            </xdr:cNvSpPr>
          </xdr:nvSpPr>
          <xdr:spPr bwMode="auto">
            <a:xfrm flipV="1">
              <a:off x="3616" y="1828"/>
              <a:ext cx="0" cy="30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4" name="Line 294"/>
            <xdr:cNvSpPr>
              <a:spLocks noChangeShapeType="1"/>
            </xdr:cNvSpPr>
          </xdr:nvSpPr>
          <xdr:spPr bwMode="auto">
            <a:xfrm>
              <a:off x="3208" y="1904"/>
              <a:ext cx="416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5" name="Rectangle 295"/>
            <xdr:cNvSpPr>
              <a:spLocks noChangeArrowheads="1"/>
            </xdr:cNvSpPr>
          </xdr:nvSpPr>
          <xdr:spPr bwMode="auto">
            <a:xfrm>
              <a:off x="2599" y="2752"/>
              <a:ext cx="70" cy="7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R5</a:t>
              </a:r>
            </a:p>
            <a:p>
              <a:pPr algn="l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56" name="Rectangle 296"/>
            <xdr:cNvSpPr>
              <a:spLocks noChangeArrowheads="1"/>
            </xdr:cNvSpPr>
          </xdr:nvSpPr>
          <xdr:spPr bwMode="auto">
            <a:xfrm>
              <a:off x="2612" y="2893"/>
              <a:ext cx="70" cy="7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C5</a:t>
              </a:r>
            </a:p>
            <a:p>
              <a:pPr algn="l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57" name="Rectangle 297"/>
            <xdr:cNvSpPr>
              <a:spLocks noChangeArrowheads="1"/>
            </xdr:cNvSpPr>
          </xdr:nvSpPr>
          <xdr:spPr bwMode="auto">
            <a:xfrm>
              <a:off x="3344" y="2752"/>
              <a:ext cx="102" cy="7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R2</a:t>
              </a:r>
            </a:p>
            <a:p>
              <a:pPr algn="l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58" name="Rectangle 298"/>
            <xdr:cNvSpPr>
              <a:spLocks noChangeArrowheads="1"/>
            </xdr:cNvSpPr>
          </xdr:nvSpPr>
          <xdr:spPr bwMode="auto">
            <a:xfrm>
              <a:off x="3324" y="2188"/>
              <a:ext cx="98" cy="8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R1</a:t>
              </a:r>
            </a:p>
            <a:p>
              <a:pPr algn="l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59" name="Rectangle 299"/>
            <xdr:cNvSpPr>
              <a:spLocks noChangeArrowheads="1"/>
            </xdr:cNvSpPr>
          </xdr:nvSpPr>
          <xdr:spPr bwMode="auto">
            <a:xfrm>
              <a:off x="3697" y="2196"/>
              <a:ext cx="119" cy="7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C4</a:t>
              </a:r>
            </a:p>
            <a:p>
              <a:pPr algn="l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60" name="Oval 300"/>
            <xdr:cNvSpPr>
              <a:spLocks noChangeArrowheads="1"/>
            </xdr:cNvSpPr>
          </xdr:nvSpPr>
          <xdr:spPr bwMode="auto">
            <a:xfrm>
              <a:off x="3428" y="2520"/>
              <a:ext cx="40" cy="40"/>
            </a:xfrm>
            <a:prstGeom prst="ellipse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" name="Oval 301"/>
            <xdr:cNvSpPr>
              <a:spLocks noChangeArrowheads="1"/>
            </xdr:cNvSpPr>
          </xdr:nvSpPr>
          <xdr:spPr bwMode="auto">
            <a:xfrm>
              <a:off x="3596" y="1888"/>
              <a:ext cx="40" cy="40"/>
            </a:xfrm>
            <a:prstGeom prst="ellipse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2" name="Rectangle 302"/>
            <xdr:cNvSpPr>
              <a:spLocks noChangeArrowheads="1"/>
            </xdr:cNvSpPr>
          </xdr:nvSpPr>
          <xdr:spPr bwMode="auto">
            <a:xfrm>
              <a:off x="3529" y="1724"/>
              <a:ext cx="156" cy="9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OUT</a:t>
              </a:r>
              <a:endParaRPr lang="en-US" sz="9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9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grpSp>
          <xdr:nvGrpSpPr>
            <xdr:cNvPr id="63" name="Group 303"/>
            <xdr:cNvGrpSpPr>
              <a:grpSpLocks/>
            </xdr:cNvGrpSpPr>
          </xdr:nvGrpSpPr>
          <xdr:grpSpPr bwMode="auto">
            <a:xfrm>
              <a:off x="1596" y="2368"/>
              <a:ext cx="293" cy="329"/>
              <a:chOff x="3083" y="3207"/>
              <a:chExt cx="289" cy="329"/>
            </a:xfrm>
          </xdr:grpSpPr>
          <xdr:sp macro="" textlink="">
            <xdr:nvSpPr>
              <xdr:cNvPr id="102" name="Freeform 304"/>
              <xdr:cNvSpPr>
                <a:spLocks/>
              </xdr:cNvSpPr>
            </xdr:nvSpPr>
            <xdr:spPr bwMode="auto">
              <a:xfrm>
                <a:off x="3083" y="3207"/>
                <a:ext cx="289" cy="329"/>
              </a:xfrm>
              <a:custGeom>
                <a:avLst/>
                <a:gdLst>
                  <a:gd name="T0" fmla="*/ 0 w 289"/>
                  <a:gd name="T1" fmla="*/ 164 h 329"/>
                  <a:gd name="T2" fmla="*/ 289 w 289"/>
                  <a:gd name="T3" fmla="*/ 0 h 329"/>
                  <a:gd name="T4" fmla="*/ 289 w 289"/>
                  <a:gd name="T5" fmla="*/ 329 h 329"/>
                  <a:gd name="T6" fmla="*/ 0 w 289"/>
                  <a:gd name="T7" fmla="*/ 164 h 329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289"/>
                  <a:gd name="T13" fmla="*/ 0 h 329"/>
                  <a:gd name="T14" fmla="*/ 289 w 289"/>
                  <a:gd name="T15" fmla="*/ 329 h 329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89" h="329">
                    <a:moveTo>
                      <a:pt x="0" y="164"/>
                    </a:moveTo>
                    <a:lnTo>
                      <a:pt x="289" y="0"/>
                    </a:lnTo>
                    <a:lnTo>
                      <a:pt x="289" y="329"/>
                    </a:lnTo>
                    <a:lnTo>
                      <a:pt x="0" y="164"/>
                    </a:lnTo>
                    <a:close/>
                  </a:path>
                </a:pathLst>
              </a:custGeom>
              <a:solidFill>
                <a:srgbClr val="FFFFFF"/>
              </a:solidFill>
              <a:ln w="1270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3" name="Freeform 305"/>
              <xdr:cNvSpPr>
                <a:spLocks/>
              </xdr:cNvSpPr>
            </xdr:nvSpPr>
            <xdr:spPr bwMode="auto">
              <a:xfrm>
                <a:off x="3083" y="3207"/>
                <a:ext cx="289" cy="329"/>
              </a:xfrm>
              <a:custGeom>
                <a:avLst/>
                <a:gdLst>
                  <a:gd name="T0" fmla="*/ 0 w 289"/>
                  <a:gd name="T1" fmla="*/ 164 h 329"/>
                  <a:gd name="T2" fmla="*/ 289 w 289"/>
                  <a:gd name="T3" fmla="*/ 0 h 329"/>
                  <a:gd name="T4" fmla="*/ 289 w 289"/>
                  <a:gd name="T5" fmla="*/ 329 h 329"/>
                  <a:gd name="T6" fmla="*/ 0 w 289"/>
                  <a:gd name="T7" fmla="*/ 164 h 329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289"/>
                  <a:gd name="T13" fmla="*/ 0 h 329"/>
                  <a:gd name="T14" fmla="*/ 289 w 289"/>
                  <a:gd name="T15" fmla="*/ 329 h 329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89" h="329">
                    <a:moveTo>
                      <a:pt x="0" y="164"/>
                    </a:moveTo>
                    <a:lnTo>
                      <a:pt x="289" y="0"/>
                    </a:lnTo>
                    <a:lnTo>
                      <a:pt x="289" y="329"/>
                    </a:lnTo>
                    <a:lnTo>
                      <a:pt x="0" y="164"/>
                    </a:lnTo>
                    <a:close/>
                  </a:path>
                </a:pathLst>
              </a:custGeom>
              <a:noFill/>
              <a:ln w="12700" cap="rnd">
                <a:solidFill>
                  <a:srgbClr val="000000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  <xdr:grpSp>
          <xdr:nvGrpSpPr>
            <xdr:cNvPr id="64" name="Group 306"/>
            <xdr:cNvGrpSpPr>
              <a:grpSpLocks/>
            </xdr:cNvGrpSpPr>
          </xdr:nvGrpSpPr>
          <xdr:grpSpPr bwMode="auto">
            <a:xfrm>
              <a:off x="2492" y="3076"/>
              <a:ext cx="108" cy="40"/>
              <a:chOff x="3396" y="3040"/>
              <a:chExt cx="108" cy="40"/>
            </a:xfrm>
          </xdr:grpSpPr>
          <xdr:sp macro="" textlink="">
            <xdr:nvSpPr>
              <xdr:cNvPr id="99" name="Line 307"/>
              <xdr:cNvSpPr>
                <a:spLocks noChangeShapeType="1"/>
              </xdr:cNvSpPr>
            </xdr:nvSpPr>
            <xdr:spPr bwMode="auto">
              <a:xfrm>
                <a:off x="3396" y="3040"/>
                <a:ext cx="108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0" name="Line 308"/>
              <xdr:cNvSpPr>
                <a:spLocks noChangeShapeType="1"/>
              </xdr:cNvSpPr>
            </xdr:nvSpPr>
            <xdr:spPr bwMode="auto">
              <a:xfrm>
                <a:off x="3420" y="3060"/>
                <a:ext cx="52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1" name="Line 309"/>
              <xdr:cNvSpPr>
                <a:spLocks noChangeShapeType="1"/>
              </xdr:cNvSpPr>
            </xdr:nvSpPr>
            <xdr:spPr bwMode="auto">
              <a:xfrm>
                <a:off x="3436" y="3080"/>
                <a:ext cx="20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sp macro="" textlink="">
          <xdr:nvSpPr>
            <xdr:cNvPr id="65" name="Oval 310"/>
            <xdr:cNvSpPr>
              <a:spLocks noChangeArrowheads="1"/>
            </xdr:cNvSpPr>
          </xdr:nvSpPr>
          <xdr:spPr bwMode="auto">
            <a:xfrm>
              <a:off x="2096" y="2196"/>
              <a:ext cx="225" cy="210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lnSpc>
                  <a:spcPts val="1900"/>
                </a:lnSpc>
                <a:defRPr sz="1000"/>
              </a:pPr>
              <a:r>
                <a:rPr lang="en-US" sz="1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  <a:p>
              <a:pPr algn="l" rtl="0">
                <a:lnSpc>
                  <a:spcPts val="1900"/>
                </a:lnSpc>
                <a:defRPr sz="1000"/>
              </a:pPr>
              <a:endPara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66" name="Rectangle 311"/>
            <xdr:cNvSpPr>
              <a:spLocks noChangeArrowheads="1"/>
            </xdr:cNvSpPr>
          </xdr:nvSpPr>
          <xdr:spPr bwMode="auto">
            <a:xfrm>
              <a:off x="1838" y="2577"/>
              <a:ext cx="33" cy="7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sp macro="" textlink="">
          <xdr:nvSpPr>
            <xdr:cNvPr id="67" name="Oval 312"/>
            <xdr:cNvSpPr>
              <a:spLocks noChangeArrowheads="1"/>
            </xdr:cNvSpPr>
          </xdr:nvSpPr>
          <xdr:spPr bwMode="auto">
            <a:xfrm>
              <a:off x="3420" y="1884"/>
              <a:ext cx="40" cy="40"/>
            </a:xfrm>
            <a:prstGeom prst="ellipse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8" name="Line 313"/>
            <xdr:cNvSpPr>
              <a:spLocks noChangeShapeType="1"/>
            </xdr:cNvSpPr>
          </xdr:nvSpPr>
          <xdr:spPr bwMode="auto">
            <a:xfrm flipH="1">
              <a:off x="2323" y="2315"/>
              <a:ext cx="326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pSp>
          <xdr:nvGrpSpPr>
            <xdr:cNvPr id="69" name="Group 314"/>
            <xdr:cNvGrpSpPr>
              <a:grpSpLocks/>
            </xdr:cNvGrpSpPr>
          </xdr:nvGrpSpPr>
          <xdr:grpSpPr bwMode="auto">
            <a:xfrm rot="10800000">
              <a:off x="2368" y="2732"/>
              <a:ext cx="104" cy="212"/>
              <a:chOff x="2272" y="2612"/>
              <a:chExt cx="104" cy="212"/>
            </a:xfrm>
          </xdr:grpSpPr>
          <xdr:sp macro="" textlink="">
            <xdr:nvSpPr>
              <xdr:cNvPr id="95" name="Line 315"/>
              <xdr:cNvSpPr>
                <a:spLocks noChangeShapeType="1"/>
              </xdr:cNvSpPr>
            </xdr:nvSpPr>
            <xdr:spPr bwMode="auto">
              <a:xfrm>
                <a:off x="2324" y="2612"/>
                <a:ext cx="0" cy="88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6" name="Line 316"/>
              <xdr:cNvSpPr>
                <a:spLocks noChangeShapeType="1"/>
              </xdr:cNvSpPr>
            </xdr:nvSpPr>
            <xdr:spPr bwMode="auto">
              <a:xfrm>
                <a:off x="2272" y="2700"/>
                <a:ext cx="104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7" name="Line 317"/>
              <xdr:cNvSpPr>
                <a:spLocks noChangeShapeType="1"/>
              </xdr:cNvSpPr>
            </xdr:nvSpPr>
            <xdr:spPr bwMode="auto">
              <a:xfrm>
                <a:off x="2272" y="2744"/>
                <a:ext cx="104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8" name="Line 318"/>
              <xdr:cNvSpPr>
                <a:spLocks noChangeShapeType="1"/>
              </xdr:cNvSpPr>
            </xdr:nvSpPr>
            <xdr:spPr bwMode="auto">
              <a:xfrm>
                <a:off x="2324" y="2744"/>
                <a:ext cx="0" cy="8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sp macro="" textlink="">
          <xdr:nvSpPr>
            <xdr:cNvPr id="70" name="Line 319"/>
            <xdr:cNvSpPr>
              <a:spLocks noChangeShapeType="1"/>
            </xdr:cNvSpPr>
          </xdr:nvSpPr>
          <xdr:spPr bwMode="auto">
            <a:xfrm>
              <a:off x="2420" y="2628"/>
              <a:ext cx="0" cy="12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1" name="Oval 320"/>
            <xdr:cNvSpPr>
              <a:spLocks noChangeArrowheads="1"/>
            </xdr:cNvSpPr>
          </xdr:nvSpPr>
          <xdr:spPr bwMode="auto">
            <a:xfrm>
              <a:off x="2400" y="2604"/>
              <a:ext cx="40" cy="40"/>
            </a:xfrm>
            <a:prstGeom prst="ellipse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72" name="Line 321"/>
            <xdr:cNvSpPr>
              <a:spLocks noChangeShapeType="1"/>
            </xdr:cNvSpPr>
          </xdr:nvSpPr>
          <xdr:spPr bwMode="auto">
            <a:xfrm>
              <a:off x="2420" y="2936"/>
              <a:ext cx="0" cy="7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3" name="Line 322"/>
            <xdr:cNvSpPr>
              <a:spLocks noChangeShapeType="1"/>
            </xdr:cNvSpPr>
          </xdr:nvSpPr>
          <xdr:spPr bwMode="auto">
            <a:xfrm>
              <a:off x="2548" y="2988"/>
              <a:ext cx="0" cy="9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4" name="Line 323"/>
            <xdr:cNvSpPr>
              <a:spLocks noChangeShapeType="1"/>
            </xdr:cNvSpPr>
          </xdr:nvSpPr>
          <xdr:spPr bwMode="auto">
            <a:xfrm>
              <a:off x="2424" y="3008"/>
              <a:ext cx="124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5" name="Oval 324"/>
            <xdr:cNvSpPr>
              <a:spLocks noChangeArrowheads="1"/>
            </xdr:cNvSpPr>
          </xdr:nvSpPr>
          <xdr:spPr bwMode="auto">
            <a:xfrm>
              <a:off x="2532" y="2988"/>
              <a:ext cx="40" cy="40"/>
            </a:xfrm>
            <a:prstGeom prst="ellipse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76" name="Rectangle 325"/>
            <xdr:cNvSpPr>
              <a:spLocks noChangeArrowheads="1"/>
            </xdr:cNvSpPr>
          </xdr:nvSpPr>
          <xdr:spPr bwMode="auto">
            <a:xfrm>
              <a:off x="2272" y="2794"/>
              <a:ext cx="65" cy="7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C6</a:t>
              </a:r>
            </a:p>
            <a:p>
              <a:pPr algn="l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77" name="Line 326"/>
            <xdr:cNvSpPr>
              <a:spLocks noChangeShapeType="1"/>
            </xdr:cNvSpPr>
          </xdr:nvSpPr>
          <xdr:spPr bwMode="auto">
            <a:xfrm flipV="1">
              <a:off x="2212" y="2104"/>
              <a:ext cx="0" cy="92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 type="triangle" w="med" len="med"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8" name="Rectangle 327"/>
            <xdr:cNvSpPr>
              <a:spLocks noChangeArrowheads="1"/>
            </xdr:cNvSpPr>
          </xdr:nvSpPr>
          <xdr:spPr bwMode="auto">
            <a:xfrm>
              <a:off x="2100" y="2025"/>
              <a:ext cx="82" cy="9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SE</a:t>
              </a:r>
            </a:p>
            <a:p>
              <a:pPr algn="l" rtl="0">
                <a:defRPr sz="1000"/>
              </a:pPr>
              <a:endPara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79" name="Line 328"/>
            <xdr:cNvSpPr>
              <a:spLocks noChangeShapeType="1"/>
            </xdr:cNvSpPr>
          </xdr:nvSpPr>
          <xdr:spPr bwMode="auto">
            <a:xfrm flipH="1">
              <a:off x="1967" y="2299"/>
              <a:ext cx="130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0" name="Line 329"/>
            <xdr:cNvSpPr>
              <a:spLocks noChangeShapeType="1"/>
            </xdr:cNvSpPr>
          </xdr:nvSpPr>
          <xdr:spPr bwMode="auto">
            <a:xfrm flipH="1">
              <a:off x="1887" y="2435"/>
              <a:ext cx="78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1" name="Line 330"/>
            <xdr:cNvSpPr>
              <a:spLocks noChangeShapeType="1"/>
            </xdr:cNvSpPr>
          </xdr:nvSpPr>
          <xdr:spPr bwMode="auto">
            <a:xfrm rot="16200000" flipH="1">
              <a:off x="1903" y="2367"/>
              <a:ext cx="130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2" name="Rectangle 331"/>
            <xdr:cNvSpPr>
              <a:spLocks noChangeArrowheads="1"/>
            </xdr:cNvSpPr>
          </xdr:nvSpPr>
          <xdr:spPr bwMode="auto">
            <a:xfrm>
              <a:off x="2771" y="2573"/>
              <a:ext cx="102" cy="9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gm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sp macro="" textlink="">
          <xdr:nvSpPr>
            <xdr:cNvPr id="85" name="Line 338"/>
            <xdr:cNvSpPr>
              <a:spLocks noChangeShapeType="1"/>
            </xdr:cNvSpPr>
          </xdr:nvSpPr>
          <xdr:spPr bwMode="auto">
            <a:xfrm flipV="1">
              <a:off x="3615" y="2316"/>
              <a:ext cx="1" cy="219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0" name="Rectangle 343"/>
            <xdr:cNvSpPr>
              <a:spLocks noChangeArrowheads="1"/>
            </xdr:cNvSpPr>
          </xdr:nvSpPr>
          <xdr:spPr bwMode="auto">
            <a:xfrm>
              <a:off x="2403" y="2219"/>
              <a:ext cx="82" cy="8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RT</a:t>
              </a:r>
            </a:p>
            <a:p>
              <a:pPr algn="l" rtl="0">
                <a:defRPr sz="1000"/>
              </a:pPr>
              <a:endPara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sp macro="" textlink="">
        <xdr:nvSpPr>
          <xdr:cNvPr id="14" name="Rectangle 344"/>
          <xdr:cNvSpPr>
            <a:spLocks noChangeArrowheads="1"/>
          </xdr:cNvSpPr>
        </xdr:nvSpPr>
        <xdr:spPr bwMode="auto">
          <a:xfrm>
            <a:off x="1576" y="1716"/>
            <a:ext cx="2272" cy="1440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35</xdr:row>
      <xdr:rowOff>123825</xdr:rowOff>
    </xdr:from>
    <xdr:to>
      <xdr:col>8</xdr:col>
      <xdr:colOff>66675</xdr:colOff>
      <xdr:row>66</xdr:row>
      <xdr:rowOff>57150</xdr:rowOff>
    </xdr:to>
    <xdr:grpSp>
      <xdr:nvGrpSpPr>
        <xdr:cNvPr id="122" name="Group 121"/>
        <xdr:cNvGrpSpPr/>
      </xdr:nvGrpSpPr>
      <xdr:grpSpPr>
        <a:xfrm>
          <a:off x="0" y="7029450"/>
          <a:ext cx="6853238" cy="5886450"/>
          <a:chOff x="0" y="6953250"/>
          <a:chExt cx="6858000" cy="5848350"/>
        </a:xfrm>
      </xdr:grpSpPr>
      <xdr:grpSp>
        <xdr:nvGrpSpPr>
          <xdr:cNvPr id="2" name="Group 223"/>
          <xdr:cNvGrpSpPr>
            <a:grpSpLocks/>
          </xdr:cNvGrpSpPr>
        </xdr:nvGrpSpPr>
        <xdr:grpSpPr bwMode="auto">
          <a:xfrm>
            <a:off x="0" y="6953250"/>
            <a:ext cx="6858000" cy="5848350"/>
            <a:chOff x="869" y="25"/>
            <a:chExt cx="562" cy="481"/>
          </a:xfrm>
        </xdr:grpSpPr>
        <xdr:pic>
          <xdr:nvPicPr>
            <xdr:cNvPr id="3" name="Picture 8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8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69" y="25"/>
              <a:ext cx="562" cy="481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4" name="Text Box 9"/>
            <xdr:cNvSpPr txBox="1">
              <a:spLocks noChangeArrowheads="1"/>
            </xdr:cNvSpPr>
          </xdr:nvSpPr>
          <xdr:spPr bwMode="auto">
            <a:xfrm>
              <a:off x="896" y="394"/>
              <a:ext cx="56" cy="42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en-US" sz="1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</a:t>
              </a:r>
              <a:r>
                <a:rPr lang="en-US" sz="1800" b="0" i="0" u="none" strike="noStrike" baseline="-25000">
                  <a:solidFill>
                    <a:srgbClr val="000000"/>
                  </a:solidFill>
                  <a:latin typeface="Arial"/>
                  <a:cs typeface="Arial"/>
                </a:rPr>
                <a:t>E</a:t>
              </a:r>
            </a:p>
            <a:p>
              <a:pPr algn="l" rtl="0">
                <a:defRPr sz="1000"/>
              </a:pPr>
              <a:endPara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cxnSp macro="">
        <xdr:nvCxnSpPr>
          <xdr:cNvPr id="120" name="Straight Arrow Connector 119"/>
          <xdr:cNvCxnSpPr>
            <a:stCxn id="4" idx="3"/>
          </xdr:cNvCxnSpPr>
        </xdr:nvCxnSpPr>
        <xdr:spPr>
          <a:xfrm>
            <a:off x="1003077" y="11683571"/>
            <a:ext cx="435167" cy="3604"/>
          </a:xfrm>
          <a:prstGeom prst="straightConnector1">
            <a:avLst/>
          </a:prstGeom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</xdr:col>
      <xdr:colOff>0</xdr:colOff>
      <xdr:row>2</xdr:row>
      <xdr:rowOff>0</xdr:rowOff>
    </xdr:from>
    <xdr:to>
      <xdr:col>8</xdr:col>
      <xdr:colOff>323850</xdr:colOff>
      <xdr:row>11</xdr:row>
      <xdr:rowOff>104775</xdr:rowOff>
    </xdr:to>
    <xdr:pic>
      <xdr:nvPicPr>
        <xdr:cNvPr id="121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1000"/>
          <a:ext cx="6505575" cy="181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583405</xdr:colOff>
      <xdr:row>26</xdr:row>
      <xdr:rowOff>202405</xdr:rowOff>
    </xdr:from>
    <xdr:to>
      <xdr:col>15</xdr:col>
      <xdr:colOff>1479374</xdr:colOff>
      <xdr:row>30</xdr:row>
      <xdr:rowOff>32915</xdr:rowOff>
    </xdr:to>
    <xdr:pic>
      <xdr:nvPicPr>
        <xdr:cNvPr id="84" name="Picture 83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2239624" y="5262561"/>
          <a:ext cx="1646063" cy="640135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0.49508</cdr:x>
      <cdr:y>0.5</cdr:y>
    </cdr:from>
    <cdr:to>
      <cdr:x>0.52507</cdr:x>
      <cdr:y>0.55321</cdr:y>
    </cdr:to>
    <cdr:sp macro="" textlink="">
      <cdr:nvSpPr>
        <cdr:cNvPr id="1843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9002" y="1698625"/>
          <a:ext cx="169950" cy="1804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``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0.49606</cdr:x>
      <cdr:y>0.50122</cdr:y>
    </cdr:from>
    <cdr:to>
      <cdr:x>0.5263</cdr:x>
      <cdr:y>0.55443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4287" y="1702561"/>
          <a:ext cx="171050" cy="1817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``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0.5027</cdr:x>
      <cdr:y>0.5017</cdr:y>
    </cdr:from>
    <cdr:to>
      <cdr:x>0.53197</cdr:x>
      <cdr:y>0.5537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4405" y="1703388"/>
          <a:ext cx="170022" cy="1801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75" b="0" i="0" u="none" strike="noStrike" baseline="0">
              <a:solidFill>
                <a:srgbClr val="000000"/>
              </a:solidFill>
              <a:latin typeface="Arial"/>
              <a:cs typeface="Arial"/>
            </a:rPr>
            <a:t>``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0.50614</cdr:x>
      <cdr:y>0.5017</cdr:y>
    </cdr:from>
    <cdr:to>
      <cdr:x>0.53516</cdr:x>
      <cdr:y>0.55419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3866" y="1708150"/>
          <a:ext cx="170593" cy="1814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75" b="0" i="0" u="none" strike="noStrike" baseline="0">
              <a:solidFill>
                <a:srgbClr val="000000"/>
              </a:solidFill>
              <a:latin typeface="Arial"/>
              <a:cs typeface="Arial"/>
            </a:rPr>
            <a:t>``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0.49852</cdr:x>
      <cdr:y>0.54861</cdr:y>
    </cdr:from>
    <cdr:to>
      <cdr:x>0.52803</cdr:x>
      <cdr:y>0.59576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80735" y="1879124"/>
          <a:ext cx="170307" cy="161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75" b="0" i="0" u="none" strike="noStrike" baseline="0">
              <a:solidFill>
                <a:srgbClr val="000000"/>
              </a:solidFill>
              <a:latin typeface="Arial"/>
              <a:cs typeface="Arial"/>
            </a:rPr>
            <a:t>``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0.49508</cdr:x>
      <cdr:y>0.54885</cdr:y>
    </cdr:from>
    <cdr:to>
      <cdr:x>0.52433</cdr:x>
      <cdr:y>0.59576</cdr:y>
    </cdr:to>
    <cdr:sp macro="" textlink="">
      <cdr:nvSpPr>
        <cdr:cNvPr id="501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3147" y="1885196"/>
          <a:ext cx="170821" cy="1633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``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3:M118"/>
  <sheetViews>
    <sheetView tabSelected="1" topLeftCell="A13" workbookViewId="0">
      <selection activeCell="B17" sqref="B17"/>
    </sheetView>
  </sheetViews>
  <sheetFormatPr defaultRowHeight="13"/>
  <cols>
    <col min="1" max="1" width="34.26953125" style="2" bestFit="1" customWidth="1"/>
    <col min="2" max="2" width="10.81640625" style="2" customWidth="1"/>
    <col min="3" max="3" width="7" style="2" customWidth="1"/>
    <col min="4" max="4" width="2.54296875" style="2" customWidth="1"/>
    <col min="5" max="5" width="26" style="2" customWidth="1"/>
    <col min="6" max="6" width="10.1796875" style="2" customWidth="1"/>
    <col min="7" max="9" width="9.1796875" style="2"/>
    <col min="10" max="10" width="14.26953125" style="2" bestFit="1" customWidth="1"/>
    <col min="11" max="11" width="15" style="2" bestFit="1" customWidth="1"/>
    <col min="12" max="12" width="13.7265625" style="2" bestFit="1" customWidth="1"/>
    <col min="13" max="256" width="9.1796875" style="2"/>
    <col min="257" max="257" width="34.26953125" style="2" bestFit="1" customWidth="1"/>
    <col min="258" max="258" width="10.81640625" style="2" customWidth="1"/>
    <col min="259" max="259" width="7" style="2" customWidth="1"/>
    <col min="260" max="260" width="2.54296875" style="2" customWidth="1"/>
    <col min="261" max="261" width="26" style="2" customWidth="1"/>
    <col min="262" max="262" width="10.1796875" style="2" customWidth="1"/>
    <col min="263" max="265" width="9.1796875" style="2"/>
    <col min="266" max="266" width="14.26953125" style="2" bestFit="1" customWidth="1"/>
    <col min="267" max="267" width="15" style="2" bestFit="1" customWidth="1"/>
    <col min="268" max="268" width="13.7265625" style="2" bestFit="1" customWidth="1"/>
    <col min="269" max="512" width="9.1796875" style="2"/>
    <col min="513" max="513" width="34.26953125" style="2" bestFit="1" customWidth="1"/>
    <col min="514" max="514" width="10.81640625" style="2" customWidth="1"/>
    <col min="515" max="515" width="7" style="2" customWidth="1"/>
    <col min="516" max="516" width="2.54296875" style="2" customWidth="1"/>
    <col min="517" max="517" width="26" style="2" customWidth="1"/>
    <col min="518" max="518" width="10.1796875" style="2" customWidth="1"/>
    <col min="519" max="521" width="9.1796875" style="2"/>
    <col min="522" max="522" width="14.26953125" style="2" bestFit="1" customWidth="1"/>
    <col min="523" max="523" width="15" style="2" bestFit="1" customWidth="1"/>
    <col min="524" max="524" width="13.7265625" style="2" bestFit="1" customWidth="1"/>
    <col min="525" max="768" width="9.1796875" style="2"/>
    <col min="769" max="769" width="34.26953125" style="2" bestFit="1" customWidth="1"/>
    <col min="770" max="770" width="10.81640625" style="2" customWidth="1"/>
    <col min="771" max="771" width="7" style="2" customWidth="1"/>
    <col min="772" max="772" width="2.54296875" style="2" customWidth="1"/>
    <col min="773" max="773" width="26" style="2" customWidth="1"/>
    <col min="774" max="774" width="10.1796875" style="2" customWidth="1"/>
    <col min="775" max="777" width="9.1796875" style="2"/>
    <col min="778" max="778" width="14.26953125" style="2" bestFit="1" customWidth="1"/>
    <col min="779" max="779" width="15" style="2" bestFit="1" customWidth="1"/>
    <col min="780" max="780" width="13.7265625" style="2" bestFit="1" customWidth="1"/>
    <col min="781" max="1024" width="9.1796875" style="2"/>
    <col min="1025" max="1025" width="34.26953125" style="2" bestFit="1" customWidth="1"/>
    <col min="1026" max="1026" width="10.81640625" style="2" customWidth="1"/>
    <col min="1027" max="1027" width="7" style="2" customWidth="1"/>
    <col min="1028" max="1028" width="2.54296875" style="2" customWidth="1"/>
    <col min="1029" max="1029" width="26" style="2" customWidth="1"/>
    <col min="1030" max="1030" width="10.1796875" style="2" customWidth="1"/>
    <col min="1031" max="1033" width="9.1796875" style="2"/>
    <col min="1034" max="1034" width="14.26953125" style="2" bestFit="1" customWidth="1"/>
    <col min="1035" max="1035" width="15" style="2" bestFit="1" customWidth="1"/>
    <col min="1036" max="1036" width="13.7265625" style="2" bestFit="1" customWidth="1"/>
    <col min="1037" max="1280" width="9.1796875" style="2"/>
    <col min="1281" max="1281" width="34.26953125" style="2" bestFit="1" customWidth="1"/>
    <col min="1282" max="1282" width="10.81640625" style="2" customWidth="1"/>
    <col min="1283" max="1283" width="7" style="2" customWidth="1"/>
    <col min="1284" max="1284" width="2.54296875" style="2" customWidth="1"/>
    <col min="1285" max="1285" width="26" style="2" customWidth="1"/>
    <col min="1286" max="1286" width="10.1796875" style="2" customWidth="1"/>
    <col min="1287" max="1289" width="9.1796875" style="2"/>
    <col min="1290" max="1290" width="14.26953125" style="2" bestFit="1" customWidth="1"/>
    <col min="1291" max="1291" width="15" style="2" bestFit="1" customWidth="1"/>
    <col min="1292" max="1292" width="13.7265625" style="2" bestFit="1" customWidth="1"/>
    <col min="1293" max="1536" width="9.1796875" style="2"/>
    <col min="1537" max="1537" width="34.26953125" style="2" bestFit="1" customWidth="1"/>
    <col min="1538" max="1538" width="10.81640625" style="2" customWidth="1"/>
    <col min="1539" max="1539" width="7" style="2" customWidth="1"/>
    <col min="1540" max="1540" width="2.54296875" style="2" customWidth="1"/>
    <col min="1541" max="1541" width="26" style="2" customWidth="1"/>
    <col min="1542" max="1542" width="10.1796875" style="2" customWidth="1"/>
    <col min="1543" max="1545" width="9.1796875" style="2"/>
    <col min="1546" max="1546" width="14.26953125" style="2" bestFit="1" customWidth="1"/>
    <col min="1547" max="1547" width="15" style="2" bestFit="1" customWidth="1"/>
    <col min="1548" max="1548" width="13.7265625" style="2" bestFit="1" customWidth="1"/>
    <col min="1549" max="1792" width="9.1796875" style="2"/>
    <col min="1793" max="1793" width="34.26953125" style="2" bestFit="1" customWidth="1"/>
    <col min="1794" max="1794" width="10.81640625" style="2" customWidth="1"/>
    <col min="1795" max="1795" width="7" style="2" customWidth="1"/>
    <col min="1796" max="1796" width="2.54296875" style="2" customWidth="1"/>
    <col min="1797" max="1797" width="26" style="2" customWidth="1"/>
    <col min="1798" max="1798" width="10.1796875" style="2" customWidth="1"/>
    <col min="1799" max="1801" width="9.1796875" style="2"/>
    <col min="1802" max="1802" width="14.26953125" style="2" bestFit="1" customWidth="1"/>
    <col min="1803" max="1803" width="15" style="2" bestFit="1" customWidth="1"/>
    <col min="1804" max="1804" width="13.7265625" style="2" bestFit="1" customWidth="1"/>
    <col min="1805" max="2048" width="9.1796875" style="2"/>
    <col min="2049" max="2049" width="34.26953125" style="2" bestFit="1" customWidth="1"/>
    <col min="2050" max="2050" width="10.81640625" style="2" customWidth="1"/>
    <col min="2051" max="2051" width="7" style="2" customWidth="1"/>
    <col min="2052" max="2052" width="2.54296875" style="2" customWidth="1"/>
    <col min="2053" max="2053" width="26" style="2" customWidth="1"/>
    <col min="2054" max="2054" width="10.1796875" style="2" customWidth="1"/>
    <col min="2055" max="2057" width="9.1796875" style="2"/>
    <col min="2058" max="2058" width="14.26953125" style="2" bestFit="1" customWidth="1"/>
    <col min="2059" max="2059" width="15" style="2" bestFit="1" customWidth="1"/>
    <col min="2060" max="2060" width="13.7265625" style="2" bestFit="1" customWidth="1"/>
    <col min="2061" max="2304" width="9.1796875" style="2"/>
    <col min="2305" max="2305" width="34.26953125" style="2" bestFit="1" customWidth="1"/>
    <col min="2306" max="2306" width="10.81640625" style="2" customWidth="1"/>
    <col min="2307" max="2307" width="7" style="2" customWidth="1"/>
    <col min="2308" max="2308" width="2.54296875" style="2" customWidth="1"/>
    <col min="2309" max="2309" width="26" style="2" customWidth="1"/>
    <col min="2310" max="2310" width="10.1796875" style="2" customWidth="1"/>
    <col min="2311" max="2313" width="9.1796875" style="2"/>
    <col min="2314" max="2314" width="14.26953125" style="2" bestFit="1" customWidth="1"/>
    <col min="2315" max="2315" width="15" style="2" bestFit="1" customWidth="1"/>
    <col min="2316" max="2316" width="13.7265625" style="2" bestFit="1" customWidth="1"/>
    <col min="2317" max="2560" width="9.1796875" style="2"/>
    <col min="2561" max="2561" width="34.26953125" style="2" bestFit="1" customWidth="1"/>
    <col min="2562" max="2562" width="10.81640625" style="2" customWidth="1"/>
    <col min="2563" max="2563" width="7" style="2" customWidth="1"/>
    <col min="2564" max="2564" width="2.54296875" style="2" customWidth="1"/>
    <col min="2565" max="2565" width="26" style="2" customWidth="1"/>
    <col min="2566" max="2566" width="10.1796875" style="2" customWidth="1"/>
    <col min="2567" max="2569" width="9.1796875" style="2"/>
    <col min="2570" max="2570" width="14.26953125" style="2" bestFit="1" customWidth="1"/>
    <col min="2571" max="2571" width="15" style="2" bestFit="1" customWidth="1"/>
    <col min="2572" max="2572" width="13.7265625" style="2" bestFit="1" customWidth="1"/>
    <col min="2573" max="2816" width="9.1796875" style="2"/>
    <col min="2817" max="2817" width="34.26953125" style="2" bestFit="1" customWidth="1"/>
    <col min="2818" max="2818" width="10.81640625" style="2" customWidth="1"/>
    <col min="2819" max="2819" width="7" style="2" customWidth="1"/>
    <col min="2820" max="2820" width="2.54296875" style="2" customWidth="1"/>
    <col min="2821" max="2821" width="26" style="2" customWidth="1"/>
    <col min="2822" max="2822" width="10.1796875" style="2" customWidth="1"/>
    <col min="2823" max="2825" width="9.1796875" style="2"/>
    <col min="2826" max="2826" width="14.26953125" style="2" bestFit="1" customWidth="1"/>
    <col min="2827" max="2827" width="15" style="2" bestFit="1" customWidth="1"/>
    <col min="2828" max="2828" width="13.7265625" style="2" bestFit="1" customWidth="1"/>
    <col min="2829" max="3072" width="9.1796875" style="2"/>
    <col min="3073" max="3073" width="34.26953125" style="2" bestFit="1" customWidth="1"/>
    <col min="3074" max="3074" width="10.81640625" style="2" customWidth="1"/>
    <col min="3075" max="3075" width="7" style="2" customWidth="1"/>
    <col min="3076" max="3076" width="2.54296875" style="2" customWidth="1"/>
    <col min="3077" max="3077" width="26" style="2" customWidth="1"/>
    <col min="3078" max="3078" width="10.1796875" style="2" customWidth="1"/>
    <col min="3079" max="3081" width="9.1796875" style="2"/>
    <col min="3082" max="3082" width="14.26953125" style="2" bestFit="1" customWidth="1"/>
    <col min="3083" max="3083" width="15" style="2" bestFit="1" customWidth="1"/>
    <col min="3084" max="3084" width="13.7265625" style="2" bestFit="1" customWidth="1"/>
    <col min="3085" max="3328" width="9.1796875" style="2"/>
    <col min="3329" max="3329" width="34.26953125" style="2" bestFit="1" customWidth="1"/>
    <col min="3330" max="3330" width="10.81640625" style="2" customWidth="1"/>
    <col min="3331" max="3331" width="7" style="2" customWidth="1"/>
    <col min="3332" max="3332" width="2.54296875" style="2" customWidth="1"/>
    <col min="3333" max="3333" width="26" style="2" customWidth="1"/>
    <col min="3334" max="3334" width="10.1796875" style="2" customWidth="1"/>
    <col min="3335" max="3337" width="9.1796875" style="2"/>
    <col min="3338" max="3338" width="14.26953125" style="2" bestFit="1" customWidth="1"/>
    <col min="3339" max="3339" width="15" style="2" bestFit="1" customWidth="1"/>
    <col min="3340" max="3340" width="13.7265625" style="2" bestFit="1" customWidth="1"/>
    <col min="3341" max="3584" width="9.1796875" style="2"/>
    <col min="3585" max="3585" width="34.26953125" style="2" bestFit="1" customWidth="1"/>
    <col min="3586" max="3586" width="10.81640625" style="2" customWidth="1"/>
    <col min="3587" max="3587" width="7" style="2" customWidth="1"/>
    <col min="3588" max="3588" width="2.54296875" style="2" customWidth="1"/>
    <col min="3589" max="3589" width="26" style="2" customWidth="1"/>
    <col min="3590" max="3590" width="10.1796875" style="2" customWidth="1"/>
    <col min="3591" max="3593" width="9.1796875" style="2"/>
    <col min="3594" max="3594" width="14.26953125" style="2" bestFit="1" customWidth="1"/>
    <col min="3595" max="3595" width="15" style="2" bestFit="1" customWidth="1"/>
    <col min="3596" max="3596" width="13.7265625" style="2" bestFit="1" customWidth="1"/>
    <col min="3597" max="3840" width="9.1796875" style="2"/>
    <col min="3841" max="3841" width="34.26953125" style="2" bestFit="1" customWidth="1"/>
    <col min="3842" max="3842" width="10.81640625" style="2" customWidth="1"/>
    <col min="3843" max="3843" width="7" style="2" customWidth="1"/>
    <col min="3844" max="3844" width="2.54296875" style="2" customWidth="1"/>
    <col min="3845" max="3845" width="26" style="2" customWidth="1"/>
    <col min="3846" max="3846" width="10.1796875" style="2" customWidth="1"/>
    <col min="3847" max="3849" width="9.1796875" style="2"/>
    <col min="3850" max="3850" width="14.26953125" style="2" bestFit="1" customWidth="1"/>
    <col min="3851" max="3851" width="15" style="2" bestFit="1" customWidth="1"/>
    <col min="3852" max="3852" width="13.7265625" style="2" bestFit="1" customWidth="1"/>
    <col min="3853" max="4096" width="9.1796875" style="2"/>
    <col min="4097" max="4097" width="34.26953125" style="2" bestFit="1" customWidth="1"/>
    <col min="4098" max="4098" width="10.81640625" style="2" customWidth="1"/>
    <col min="4099" max="4099" width="7" style="2" customWidth="1"/>
    <col min="4100" max="4100" width="2.54296875" style="2" customWidth="1"/>
    <col min="4101" max="4101" width="26" style="2" customWidth="1"/>
    <col min="4102" max="4102" width="10.1796875" style="2" customWidth="1"/>
    <col min="4103" max="4105" width="9.1796875" style="2"/>
    <col min="4106" max="4106" width="14.26953125" style="2" bestFit="1" customWidth="1"/>
    <col min="4107" max="4107" width="15" style="2" bestFit="1" customWidth="1"/>
    <col min="4108" max="4108" width="13.7265625" style="2" bestFit="1" customWidth="1"/>
    <col min="4109" max="4352" width="9.1796875" style="2"/>
    <col min="4353" max="4353" width="34.26953125" style="2" bestFit="1" customWidth="1"/>
    <col min="4354" max="4354" width="10.81640625" style="2" customWidth="1"/>
    <col min="4355" max="4355" width="7" style="2" customWidth="1"/>
    <col min="4356" max="4356" width="2.54296875" style="2" customWidth="1"/>
    <col min="4357" max="4357" width="26" style="2" customWidth="1"/>
    <col min="4358" max="4358" width="10.1796875" style="2" customWidth="1"/>
    <col min="4359" max="4361" width="9.1796875" style="2"/>
    <col min="4362" max="4362" width="14.26953125" style="2" bestFit="1" customWidth="1"/>
    <col min="4363" max="4363" width="15" style="2" bestFit="1" customWidth="1"/>
    <col min="4364" max="4364" width="13.7265625" style="2" bestFit="1" customWidth="1"/>
    <col min="4365" max="4608" width="9.1796875" style="2"/>
    <col min="4609" max="4609" width="34.26953125" style="2" bestFit="1" customWidth="1"/>
    <col min="4610" max="4610" width="10.81640625" style="2" customWidth="1"/>
    <col min="4611" max="4611" width="7" style="2" customWidth="1"/>
    <col min="4612" max="4612" width="2.54296875" style="2" customWidth="1"/>
    <col min="4613" max="4613" width="26" style="2" customWidth="1"/>
    <col min="4614" max="4614" width="10.1796875" style="2" customWidth="1"/>
    <col min="4615" max="4617" width="9.1796875" style="2"/>
    <col min="4618" max="4618" width="14.26953125" style="2" bestFit="1" customWidth="1"/>
    <col min="4619" max="4619" width="15" style="2" bestFit="1" customWidth="1"/>
    <col min="4620" max="4620" width="13.7265625" style="2" bestFit="1" customWidth="1"/>
    <col min="4621" max="4864" width="9.1796875" style="2"/>
    <col min="4865" max="4865" width="34.26953125" style="2" bestFit="1" customWidth="1"/>
    <col min="4866" max="4866" width="10.81640625" style="2" customWidth="1"/>
    <col min="4867" max="4867" width="7" style="2" customWidth="1"/>
    <col min="4868" max="4868" width="2.54296875" style="2" customWidth="1"/>
    <col min="4869" max="4869" width="26" style="2" customWidth="1"/>
    <col min="4870" max="4870" width="10.1796875" style="2" customWidth="1"/>
    <col min="4871" max="4873" width="9.1796875" style="2"/>
    <col min="4874" max="4874" width="14.26953125" style="2" bestFit="1" customWidth="1"/>
    <col min="4875" max="4875" width="15" style="2" bestFit="1" customWidth="1"/>
    <col min="4876" max="4876" width="13.7265625" style="2" bestFit="1" customWidth="1"/>
    <col min="4877" max="5120" width="9.1796875" style="2"/>
    <col min="5121" max="5121" width="34.26953125" style="2" bestFit="1" customWidth="1"/>
    <col min="5122" max="5122" width="10.81640625" style="2" customWidth="1"/>
    <col min="5123" max="5123" width="7" style="2" customWidth="1"/>
    <col min="5124" max="5124" width="2.54296875" style="2" customWidth="1"/>
    <col min="5125" max="5125" width="26" style="2" customWidth="1"/>
    <col min="5126" max="5126" width="10.1796875" style="2" customWidth="1"/>
    <col min="5127" max="5129" width="9.1796875" style="2"/>
    <col min="5130" max="5130" width="14.26953125" style="2" bestFit="1" customWidth="1"/>
    <col min="5131" max="5131" width="15" style="2" bestFit="1" customWidth="1"/>
    <col min="5132" max="5132" width="13.7265625" style="2" bestFit="1" customWidth="1"/>
    <col min="5133" max="5376" width="9.1796875" style="2"/>
    <col min="5377" max="5377" width="34.26953125" style="2" bestFit="1" customWidth="1"/>
    <col min="5378" max="5378" width="10.81640625" style="2" customWidth="1"/>
    <col min="5379" max="5379" width="7" style="2" customWidth="1"/>
    <col min="5380" max="5380" width="2.54296875" style="2" customWidth="1"/>
    <col min="5381" max="5381" width="26" style="2" customWidth="1"/>
    <col min="5382" max="5382" width="10.1796875" style="2" customWidth="1"/>
    <col min="5383" max="5385" width="9.1796875" style="2"/>
    <col min="5386" max="5386" width="14.26953125" style="2" bestFit="1" customWidth="1"/>
    <col min="5387" max="5387" width="15" style="2" bestFit="1" customWidth="1"/>
    <col min="5388" max="5388" width="13.7265625" style="2" bestFit="1" customWidth="1"/>
    <col min="5389" max="5632" width="9.1796875" style="2"/>
    <col min="5633" max="5633" width="34.26953125" style="2" bestFit="1" customWidth="1"/>
    <col min="5634" max="5634" width="10.81640625" style="2" customWidth="1"/>
    <col min="5635" max="5635" width="7" style="2" customWidth="1"/>
    <col min="5636" max="5636" width="2.54296875" style="2" customWidth="1"/>
    <col min="5637" max="5637" width="26" style="2" customWidth="1"/>
    <col min="5638" max="5638" width="10.1796875" style="2" customWidth="1"/>
    <col min="5639" max="5641" width="9.1796875" style="2"/>
    <col min="5642" max="5642" width="14.26953125" style="2" bestFit="1" customWidth="1"/>
    <col min="5643" max="5643" width="15" style="2" bestFit="1" customWidth="1"/>
    <col min="5644" max="5644" width="13.7265625" style="2" bestFit="1" customWidth="1"/>
    <col min="5645" max="5888" width="9.1796875" style="2"/>
    <col min="5889" max="5889" width="34.26953125" style="2" bestFit="1" customWidth="1"/>
    <col min="5890" max="5890" width="10.81640625" style="2" customWidth="1"/>
    <col min="5891" max="5891" width="7" style="2" customWidth="1"/>
    <col min="5892" max="5892" width="2.54296875" style="2" customWidth="1"/>
    <col min="5893" max="5893" width="26" style="2" customWidth="1"/>
    <col min="5894" max="5894" width="10.1796875" style="2" customWidth="1"/>
    <col min="5895" max="5897" width="9.1796875" style="2"/>
    <col min="5898" max="5898" width="14.26953125" style="2" bestFit="1" customWidth="1"/>
    <col min="5899" max="5899" width="15" style="2" bestFit="1" customWidth="1"/>
    <col min="5900" max="5900" width="13.7265625" style="2" bestFit="1" customWidth="1"/>
    <col min="5901" max="6144" width="9.1796875" style="2"/>
    <col min="6145" max="6145" width="34.26953125" style="2" bestFit="1" customWidth="1"/>
    <col min="6146" max="6146" width="10.81640625" style="2" customWidth="1"/>
    <col min="6147" max="6147" width="7" style="2" customWidth="1"/>
    <col min="6148" max="6148" width="2.54296875" style="2" customWidth="1"/>
    <col min="6149" max="6149" width="26" style="2" customWidth="1"/>
    <col min="6150" max="6150" width="10.1796875" style="2" customWidth="1"/>
    <col min="6151" max="6153" width="9.1796875" style="2"/>
    <col min="6154" max="6154" width="14.26953125" style="2" bestFit="1" customWidth="1"/>
    <col min="6155" max="6155" width="15" style="2" bestFit="1" customWidth="1"/>
    <col min="6156" max="6156" width="13.7265625" style="2" bestFit="1" customWidth="1"/>
    <col min="6157" max="6400" width="9.1796875" style="2"/>
    <col min="6401" max="6401" width="34.26953125" style="2" bestFit="1" customWidth="1"/>
    <col min="6402" max="6402" width="10.81640625" style="2" customWidth="1"/>
    <col min="6403" max="6403" width="7" style="2" customWidth="1"/>
    <col min="6404" max="6404" width="2.54296875" style="2" customWidth="1"/>
    <col min="6405" max="6405" width="26" style="2" customWidth="1"/>
    <col min="6406" max="6406" width="10.1796875" style="2" customWidth="1"/>
    <col min="6407" max="6409" width="9.1796875" style="2"/>
    <col min="6410" max="6410" width="14.26953125" style="2" bestFit="1" customWidth="1"/>
    <col min="6411" max="6411" width="15" style="2" bestFit="1" customWidth="1"/>
    <col min="6412" max="6412" width="13.7265625" style="2" bestFit="1" customWidth="1"/>
    <col min="6413" max="6656" width="9.1796875" style="2"/>
    <col min="6657" max="6657" width="34.26953125" style="2" bestFit="1" customWidth="1"/>
    <col min="6658" max="6658" width="10.81640625" style="2" customWidth="1"/>
    <col min="6659" max="6659" width="7" style="2" customWidth="1"/>
    <col min="6660" max="6660" width="2.54296875" style="2" customWidth="1"/>
    <col min="6661" max="6661" width="26" style="2" customWidth="1"/>
    <col min="6662" max="6662" width="10.1796875" style="2" customWidth="1"/>
    <col min="6663" max="6665" width="9.1796875" style="2"/>
    <col min="6666" max="6666" width="14.26953125" style="2" bestFit="1" customWidth="1"/>
    <col min="6667" max="6667" width="15" style="2" bestFit="1" customWidth="1"/>
    <col min="6668" max="6668" width="13.7265625" style="2" bestFit="1" customWidth="1"/>
    <col min="6669" max="6912" width="9.1796875" style="2"/>
    <col min="6913" max="6913" width="34.26953125" style="2" bestFit="1" customWidth="1"/>
    <col min="6914" max="6914" width="10.81640625" style="2" customWidth="1"/>
    <col min="6915" max="6915" width="7" style="2" customWidth="1"/>
    <col min="6916" max="6916" width="2.54296875" style="2" customWidth="1"/>
    <col min="6917" max="6917" width="26" style="2" customWidth="1"/>
    <col min="6918" max="6918" width="10.1796875" style="2" customWidth="1"/>
    <col min="6919" max="6921" width="9.1796875" style="2"/>
    <col min="6922" max="6922" width="14.26953125" style="2" bestFit="1" customWidth="1"/>
    <col min="6923" max="6923" width="15" style="2" bestFit="1" customWidth="1"/>
    <col min="6924" max="6924" width="13.7265625" style="2" bestFit="1" customWidth="1"/>
    <col min="6925" max="7168" width="9.1796875" style="2"/>
    <col min="7169" max="7169" width="34.26953125" style="2" bestFit="1" customWidth="1"/>
    <col min="7170" max="7170" width="10.81640625" style="2" customWidth="1"/>
    <col min="7171" max="7171" width="7" style="2" customWidth="1"/>
    <col min="7172" max="7172" width="2.54296875" style="2" customWidth="1"/>
    <col min="7173" max="7173" width="26" style="2" customWidth="1"/>
    <col min="7174" max="7174" width="10.1796875" style="2" customWidth="1"/>
    <col min="7175" max="7177" width="9.1796875" style="2"/>
    <col min="7178" max="7178" width="14.26953125" style="2" bestFit="1" customWidth="1"/>
    <col min="7179" max="7179" width="15" style="2" bestFit="1" customWidth="1"/>
    <col min="7180" max="7180" width="13.7265625" style="2" bestFit="1" customWidth="1"/>
    <col min="7181" max="7424" width="9.1796875" style="2"/>
    <col min="7425" max="7425" width="34.26953125" style="2" bestFit="1" customWidth="1"/>
    <col min="7426" max="7426" width="10.81640625" style="2" customWidth="1"/>
    <col min="7427" max="7427" width="7" style="2" customWidth="1"/>
    <col min="7428" max="7428" width="2.54296875" style="2" customWidth="1"/>
    <col min="7429" max="7429" width="26" style="2" customWidth="1"/>
    <col min="7430" max="7430" width="10.1796875" style="2" customWidth="1"/>
    <col min="7431" max="7433" width="9.1796875" style="2"/>
    <col min="7434" max="7434" width="14.26953125" style="2" bestFit="1" customWidth="1"/>
    <col min="7435" max="7435" width="15" style="2" bestFit="1" customWidth="1"/>
    <col min="7436" max="7436" width="13.7265625" style="2" bestFit="1" customWidth="1"/>
    <col min="7437" max="7680" width="9.1796875" style="2"/>
    <col min="7681" max="7681" width="34.26953125" style="2" bestFit="1" customWidth="1"/>
    <col min="7682" max="7682" width="10.81640625" style="2" customWidth="1"/>
    <col min="7683" max="7683" width="7" style="2" customWidth="1"/>
    <col min="7684" max="7684" width="2.54296875" style="2" customWidth="1"/>
    <col min="7685" max="7685" width="26" style="2" customWidth="1"/>
    <col min="7686" max="7686" width="10.1796875" style="2" customWidth="1"/>
    <col min="7687" max="7689" width="9.1796875" style="2"/>
    <col min="7690" max="7690" width="14.26953125" style="2" bestFit="1" customWidth="1"/>
    <col min="7691" max="7691" width="15" style="2" bestFit="1" customWidth="1"/>
    <col min="7692" max="7692" width="13.7265625" style="2" bestFit="1" customWidth="1"/>
    <col min="7693" max="7936" width="9.1796875" style="2"/>
    <col min="7937" max="7937" width="34.26953125" style="2" bestFit="1" customWidth="1"/>
    <col min="7938" max="7938" width="10.81640625" style="2" customWidth="1"/>
    <col min="7939" max="7939" width="7" style="2" customWidth="1"/>
    <col min="7940" max="7940" width="2.54296875" style="2" customWidth="1"/>
    <col min="7941" max="7941" width="26" style="2" customWidth="1"/>
    <col min="7942" max="7942" width="10.1796875" style="2" customWidth="1"/>
    <col min="7943" max="7945" width="9.1796875" style="2"/>
    <col min="7946" max="7946" width="14.26953125" style="2" bestFit="1" customWidth="1"/>
    <col min="7947" max="7947" width="15" style="2" bestFit="1" customWidth="1"/>
    <col min="7948" max="7948" width="13.7265625" style="2" bestFit="1" customWidth="1"/>
    <col min="7949" max="8192" width="9.1796875" style="2"/>
    <col min="8193" max="8193" width="34.26953125" style="2" bestFit="1" customWidth="1"/>
    <col min="8194" max="8194" width="10.81640625" style="2" customWidth="1"/>
    <col min="8195" max="8195" width="7" style="2" customWidth="1"/>
    <col min="8196" max="8196" width="2.54296875" style="2" customWidth="1"/>
    <col min="8197" max="8197" width="26" style="2" customWidth="1"/>
    <col min="8198" max="8198" width="10.1796875" style="2" customWidth="1"/>
    <col min="8199" max="8201" width="9.1796875" style="2"/>
    <col min="8202" max="8202" width="14.26953125" style="2" bestFit="1" customWidth="1"/>
    <col min="8203" max="8203" width="15" style="2" bestFit="1" customWidth="1"/>
    <col min="8204" max="8204" width="13.7265625" style="2" bestFit="1" customWidth="1"/>
    <col min="8205" max="8448" width="9.1796875" style="2"/>
    <col min="8449" max="8449" width="34.26953125" style="2" bestFit="1" customWidth="1"/>
    <col min="8450" max="8450" width="10.81640625" style="2" customWidth="1"/>
    <col min="8451" max="8451" width="7" style="2" customWidth="1"/>
    <col min="8452" max="8452" width="2.54296875" style="2" customWidth="1"/>
    <col min="8453" max="8453" width="26" style="2" customWidth="1"/>
    <col min="8454" max="8454" width="10.1796875" style="2" customWidth="1"/>
    <col min="8455" max="8457" width="9.1796875" style="2"/>
    <col min="8458" max="8458" width="14.26953125" style="2" bestFit="1" customWidth="1"/>
    <col min="8459" max="8459" width="15" style="2" bestFit="1" customWidth="1"/>
    <col min="8460" max="8460" width="13.7265625" style="2" bestFit="1" customWidth="1"/>
    <col min="8461" max="8704" width="9.1796875" style="2"/>
    <col min="8705" max="8705" width="34.26953125" style="2" bestFit="1" customWidth="1"/>
    <col min="8706" max="8706" width="10.81640625" style="2" customWidth="1"/>
    <col min="8707" max="8707" width="7" style="2" customWidth="1"/>
    <col min="8708" max="8708" width="2.54296875" style="2" customWidth="1"/>
    <col min="8709" max="8709" width="26" style="2" customWidth="1"/>
    <col min="8710" max="8710" width="10.1796875" style="2" customWidth="1"/>
    <col min="8711" max="8713" width="9.1796875" style="2"/>
    <col min="8714" max="8714" width="14.26953125" style="2" bestFit="1" customWidth="1"/>
    <col min="8715" max="8715" width="15" style="2" bestFit="1" customWidth="1"/>
    <col min="8716" max="8716" width="13.7265625" style="2" bestFit="1" customWidth="1"/>
    <col min="8717" max="8960" width="9.1796875" style="2"/>
    <col min="8961" max="8961" width="34.26953125" style="2" bestFit="1" customWidth="1"/>
    <col min="8962" max="8962" width="10.81640625" style="2" customWidth="1"/>
    <col min="8963" max="8963" width="7" style="2" customWidth="1"/>
    <col min="8964" max="8964" width="2.54296875" style="2" customWidth="1"/>
    <col min="8965" max="8965" width="26" style="2" customWidth="1"/>
    <col min="8966" max="8966" width="10.1796875" style="2" customWidth="1"/>
    <col min="8967" max="8969" width="9.1796875" style="2"/>
    <col min="8970" max="8970" width="14.26953125" style="2" bestFit="1" customWidth="1"/>
    <col min="8971" max="8971" width="15" style="2" bestFit="1" customWidth="1"/>
    <col min="8972" max="8972" width="13.7265625" style="2" bestFit="1" customWidth="1"/>
    <col min="8973" max="9216" width="9.1796875" style="2"/>
    <col min="9217" max="9217" width="34.26953125" style="2" bestFit="1" customWidth="1"/>
    <col min="9218" max="9218" width="10.81640625" style="2" customWidth="1"/>
    <col min="9219" max="9219" width="7" style="2" customWidth="1"/>
    <col min="9220" max="9220" width="2.54296875" style="2" customWidth="1"/>
    <col min="9221" max="9221" width="26" style="2" customWidth="1"/>
    <col min="9222" max="9222" width="10.1796875" style="2" customWidth="1"/>
    <col min="9223" max="9225" width="9.1796875" style="2"/>
    <col min="9226" max="9226" width="14.26953125" style="2" bestFit="1" customWidth="1"/>
    <col min="9227" max="9227" width="15" style="2" bestFit="1" customWidth="1"/>
    <col min="9228" max="9228" width="13.7265625" style="2" bestFit="1" customWidth="1"/>
    <col min="9229" max="9472" width="9.1796875" style="2"/>
    <col min="9473" max="9473" width="34.26953125" style="2" bestFit="1" customWidth="1"/>
    <col min="9474" max="9474" width="10.81640625" style="2" customWidth="1"/>
    <col min="9475" max="9475" width="7" style="2" customWidth="1"/>
    <col min="9476" max="9476" width="2.54296875" style="2" customWidth="1"/>
    <col min="9477" max="9477" width="26" style="2" customWidth="1"/>
    <col min="9478" max="9478" width="10.1796875" style="2" customWidth="1"/>
    <col min="9479" max="9481" width="9.1796875" style="2"/>
    <col min="9482" max="9482" width="14.26953125" style="2" bestFit="1" customWidth="1"/>
    <col min="9483" max="9483" width="15" style="2" bestFit="1" customWidth="1"/>
    <col min="9484" max="9484" width="13.7265625" style="2" bestFit="1" customWidth="1"/>
    <col min="9485" max="9728" width="9.1796875" style="2"/>
    <col min="9729" max="9729" width="34.26953125" style="2" bestFit="1" customWidth="1"/>
    <col min="9730" max="9730" width="10.81640625" style="2" customWidth="1"/>
    <col min="9731" max="9731" width="7" style="2" customWidth="1"/>
    <col min="9732" max="9732" width="2.54296875" style="2" customWidth="1"/>
    <col min="9733" max="9733" width="26" style="2" customWidth="1"/>
    <col min="9734" max="9734" width="10.1796875" style="2" customWidth="1"/>
    <col min="9735" max="9737" width="9.1796875" style="2"/>
    <col min="9738" max="9738" width="14.26953125" style="2" bestFit="1" customWidth="1"/>
    <col min="9739" max="9739" width="15" style="2" bestFit="1" customWidth="1"/>
    <col min="9740" max="9740" width="13.7265625" style="2" bestFit="1" customWidth="1"/>
    <col min="9741" max="9984" width="9.1796875" style="2"/>
    <col min="9985" max="9985" width="34.26953125" style="2" bestFit="1" customWidth="1"/>
    <col min="9986" max="9986" width="10.81640625" style="2" customWidth="1"/>
    <col min="9987" max="9987" width="7" style="2" customWidth="1"/>
    <col min="9988" max="9988" width="2.54296875" style="2" customWidth="1"/>
    <col min="9989" max="9989" width="26" style="2" customWidth="1"/>
    <col min="9990" max="9990" width="10.1796875" style="2" customWidth="1"/>
    <col min="9991" max="9993" width="9.1796875" style="2"/>
    <col min="9994" max="9994" width="14.26953125" style="2" bestFit="1" customWidth="1"/>
    <col min="9995" max="9995" width="15" style="2" bestFit="1" customWidth="1"/>
    <col min="9996" max="9996" width="13.7265625" style="2" bestFit="1" customWidth="1"/>
    <col min="9997" max="10240" width="9.1796875" style="2"/>
    <col min="10241" max="10241" width="34.26953125" style="2" bestFit="1" customWidth="1"/>
    <col min="10242" max="10242" width="10.81640625" style="2" customWidth="1"/>
    <col min="10243" max="10243" width="7" style="2" customWidth="1"/>
    <col min="10244" max="10244" width="2.54296875" style="2" customWidth="1"/>
    <col min="10245" max="10245" width="26" style="2" customWidth="1"/>
    <col min="10246" max="10246" width="10.1796875" style="2" customWidth="1"/>
    <col min="10247" max="10249" width="9.1796875" style="2"/>
    <col min="10250" max="10250" width="14.26953125" style="2" bestFit="1" customWidth="1"/>
    <col min="10251" max="10251" width="15" style="2" bestFit="1" customWidth="1"/>
    <col min="10252" max="10252" width="13.7265625" style="2" bestFit="1" customWidth="1"/>
    <col min="10253" max="10496" width="9.1796875" style="2"/>
    <col min="10497" max="10497" width="34.26953125" style="2" bestFit="1" customWidth="1"/>
    <col min="10498" max="10498" width="10.81640625" style="2" customWidth="1"/>
    <col min="10499" max="10499" width="7" style="2" customWidth="1"/>
    <col min="10500" max="10500" width="2.54296875" style="2" customWidth="1"/>
    <col min="10501" max="10501" width="26" style="2" customWidth="1"/>
    <col min="10502" max="10502" width="10.1796875" style="2" customWidth="1"/>
    <col min="10503" max="10505" width="9.1796875" style="2"/>
    <col min="10506" max="10506" width="14.26953125" style="2" bestFit="1" customWidth="1"/>
    <col min="10507" max="10507" width="15" style="2" bestFit="1" customWidth="1"/>
    <col min="10508" max="10508" width="13.7265625" style="2" bestFit="1" customWidth="1"/>
    <col min="10509" max="10752" width="9.1796875" style="2"/>
    <col min="10753" max="10753" width="34.26953125" style="2" bestFit="1" customWidth="1"/>
    <col min="10754" max="10754" width="10.81640625" style="2" customWidth="1"/>
    <col min="10755" max="10755" width="7" style="2" customWidth="1"/>
    <col min="10756" max="10756" width="2.54296875" style="2" customWidth="1"/>
    <col min="10757" max="10757" width="26" style="2" customWidth="1"/>
    <col min="10758" max="10758" width="10.1796875" style="2" customWidth="1"/>
    <col min="10759" max="10761" width="9.1796875" style="2"/>
    <col min="10762" max="10762" width="14.26953125" style="2" bestFit="1" customWidth="1"/>
    <col min="10763" max="10763" width="15" style="2" bestFit="1" customWidth="1"/>
    <col min="10764" max="10764" width="13.7265625" style="2" bestFit="1" customWidth="1"/>
    <col min="10765" max="11008" width="9.1796875" style="2"/>
    <col min="11009" max="11009" width="34.26953125" style="2" bestFit="1" customWidth="1"/>
    <col min="11010" max="11010" width="10.81640625" style="2" customWidth="1"/>
    <col min="11011" max="11011" width="7" style="2" customWidth="1"/>
    <col min="11012" max="11012" width="2.54296875" style="2" customWidth="1"/>
    <col min="11013" max="11013" width="26" style="2" customWidth="1"/>
    <col min="11014" max="11014" width="10.1796875" style="2" customWidth="1"/>
    <col min="11015" max="11017" width="9.1796875" style="2"/>
    <col min="11018" max="11018" width="14.26953125" style="2" bestFit="1" customWidth="1"/>
    <col min="11019" max="11019" width="15" style="2" bestFit="1" customWidth="1"/>
    <col min="11020" max="11020" width="13.7265625" style="2" bestFit="1" customWidth="1"/>
    <col min="11021" max="11264" width="9.1796875" style="2"/>
    <col min="11265" max="11265" width="34.26953125" style="2" bestFit="1" customWidth="1"/>
    <col min="11266" max="11266" width="10.81640625" style="2" customWidth="1"/>
    <col min="11267" max="11267" width="7" style="2" customWidth="1"/>
    <col min="11268" max="11268" width="2.54296875" style="2" customWidth="1"/>
    <col min="11269" max="11269" width="26" style="2" customWidth="1"/>
    <col min="11270" max="11270" width="10.1796875" style="2" customWidth="1"/>
    <col min="11271" max="11273" width="9.1796875" style="2"/>
    <col min="11274" max="11274" width="14.26953125" style="2" bestFit="1" customWidth="1"/>
    <col min="11275" max="11275" width="15" style="2" bestFit="1" customWidth="1"/>
    <col min="11276" max="11276" width="13.7265625" style="2" bestFit="1" customWidth="1"/>
    <col min="11277" max="11520" width="9.1796875" style="2"/>
    <col min="11521" max="11521" width="34.26953125" style="2" bestFit="1" customWidth="1"/>
    <col min="11522" max="11522" width="10.81640625" style="2" customWidth="1"/>
    <col min="11523" max="11523" width="7" style="2" customWidth="1"/>
    <col min="11524" max="11524" width="2.54296875" style="2" customWidth="1"/>
    <col min="11525" max="11525" width="26" style="2" customWidth="1"/>
    <col min="11526" max="11526" width="10.1796875" style="2" customWidth="1"/>
    <col min="11527" max="11529" width="9.1796875" style="2"/>
    <col min="11530" max="11530" width="14.26953125" style="2" bestFit="1" customWidth="1"/>
    <col min="11531" max="11531" width="15" style="2" bestFit="1" customWidth="1"/>
    <col min="11532" max="11532" width="13.7265625" style="2" bestFit="1" customWidth="1"/>
    <col min="11533" max="11776" width="9.1796875" style="2"/>
    <col min="11777" max="11777" width="34.26953125" style="2" bestFit="1" customWidth="1"/>
    <col min="11778" max="11778" width="10.81640625" style="2" customWidth="1"/>
    <col min="11779" max="11779" width="7" style="2" customWidth="1"/>
    <col min="11780" max="11780" width="2.54296875" style="2" customWidth="1"/>
    <col min="11781" max="11781" width="26" style="2" customWidth="1"/>
    <col min="11782" max="11782" width="10.1796875" style="2" customWidth="1"/>
    <col min="11783" max="11785" width="9.1796875" style="2"/>
    <col min="11786" max="11786" width="14.26953125" style="2" bestFit="1" customWidth="1"/>
    <col min="11787" max="11787" width="15" style="2" bestFit="1" customWidth="1"/>
    <col min="11788" max="11788" width="13.7265625" style="2" bestFit="1" customWidth="1"/>
    <col min="11789" max="12032" width="9.1796875" style="2"/>
    <col min="12033" max="12033" width="34.26953125" style="2" bestFit="1" customWidth="1"/>
    <col min="12034" max="12034" width="10.81640625" style="2" customWidth="1"/>
    <col min="12035" max="12035" width="7" style="2" customWidth="1"/>
    <col min="12036" max="12036" width="2.54296875" style="2" customWidth="1"/>
    <col min="12037" max="12037" width="26" style="2" customWidth="1"/>
    <col min="12038" max="12038" width="10.1796875" style="2" customWidth="1"/>
    <col min="12039" max="12041" width="9.1796875" style="2"/>
    <col min="12042" max="12042" width="14.26953125" style="2" bestFit="1" customWidth="1"/>
    <col min="12043" max="12043" width="15" style="2" bestFit="1" customWidth="1"/>
    <col min="12044" max="12044" width="13.7265625" style="2" bestFit="1" customWidth="1"/>
    <col min="12045" max="12288" width="9.1796875" style="2"/>
    <col min="12289" max="12289" width="34.26953125" style="2" bestFit="1" customWidth="1"/>
    <col min="12290" max="12290" width="10.81640625" style="2" customWidth="1"/>
    <col min="12291" max="12291" width="7" style="2" customWidth="1"/>
    <col min="12292" max="12292" width="2.54296875" style="2" customWidth="1"/>
    <col min="12293" max="12293" width="26" style="2" customWidth="1"/>
    <col min="12294" max="12294" width="10.1796875" style="2" customWidth="1"/>
    <col min="12295" max="12297" width="9.1796875" style="2"/>
    <col min="12298" max="12298" width="14.26953125" style="2" bestFit="1" customWidth="1"/>
    <col min="12299" max="12299" width="15" style="2" bestFit="1" customWidth="1"/>
    <col min="12300" max="12300" width="13.7265625" style="2" bestFit="1" customWidth="1"/>
    <col min="12301" max="12544" width="9.1796875" style="2"/>
    <col min="12545" max="12545" width="34.26953125" style="2" bestFit="1" customWidth="1"/>
    <col min="12546" max="12546" width="10.81640625" style="2" customWidth="1"/>
    <col min="12547" max="12547" width="7" style="2" customWidth="1"/>
    <col min="12548" max="12548" width="2.54296875" style="2" customWidth="1"/>
    <col min="12549" max="12549" width="26" style="2" customWidth="1"/>
    <col min="12550" max="12550" width="10.1796875" style="2" customWidth="1"/>
    <col min="12551" max="12553" width="9.1796875" style="2"/>
    <col min="12554" max="12554" width="14.26953125" style="2" bestFit="1" customWidth="1"/>
    <col min="12555" max="12555" width="15" style="2" bestFit="1" customWidth="1"/>
    <col min="12556" max="12556" width="13.7265625" style="2" bestFit="1" customWidth="1"/>
    <col min="12557" max="12800" width="9.1796875" style="2"/>
    <col min="12801" max="12801" width="34.26953125" style="2" bestFit="1" customWidth="1"/>
    <col min="12802" max="12802" width="10.81640625" style="2" customWidth="1"/>
    <col min="12803" max="12803" width="7" style="2" customWidth="1"/>
    <col min="12804" max="12804" width="2.54296875" style="2" customWidth="1"/>
    <col min="12805" max="12805" width="26" style="2" customWidth="1"/>
    <col min="12806" max="12806" width="10.1796875" style="2" customWidth="1"/>
    <col min="12807" max="12809" width="9.1796875" style="2"/>
    <col min="12810" max="12810" width="14.26953125" style="2" bestFit="1" customWidth="1"/>
    <col min="12811" max="12811" width="15" style="2" bestFit="1" customWidth="1"/>
    <col min="12812" max="12812" width="13.7265625" style="2" bestFit="1" customWidth="1"/>
    <col min="12813" max="13056" width="9.1796875" style="2"/>
    <col min="13057" max="13057" width="34.26953125" style="2" bestFit="1" customWidth="1"/>
    <col min="13058" max="13058" width="10.81640625" style="2" customWidth="1"/>
    <col min="13059" max="13059" width="7" style="2" customWidth="1"/>
    <col min="13060" max="13060" width="2.54296875" style="2" customWidth="1"/>
    <col min="13061" max="13061" width="26" style="2" customWidth="1"/>
    <col min="13062" max="13062" width="10.1796875" style="2" customWidth="1"/>
    <col min="13063" max="13065" width="9.1796875" style="2"/>
    <col min="13066" max="13066" width="14.26953125" style="2" bestFit="1" customWidth="1"/>
    <col min="13067" max="13067" width="15" style="2" bestFit="1" customWidth="1"/>
    <col min="13068" max="13068" width="13.7265625" style="2" bestFit="1" customWidth="1"/>
    <col min="13069" max="13312" width="9.1796875" style="2"/>
    <col min="13313" max="13313" width="34.26953125" style="2" bestFit="1" customWidth="1"/>
    <col min="13314" max="13314" width="10.81640625" style="2" customWidth="1"/>
    <col min="13315" max="13315" width="7" style="2" customWidth="1"/>
    <col min="13316" max="13316" width="2.54296875" style="2" customWidth="1"/>
    <col min="13317" max="13317" width="26" style="2" customWidth="1"/>
    <col min="13318" max="13318" width="10.1796875" style="2" customWidth="1"/>
    <col min="13319" max="13321" width="9.1796875" style="2"/>
    <col min="13322" max="13322" width="14.26953125" style="2" bestFit="1" customWidth="1"/>
    <col min="13323" max="13323" width="15" style="2" bestFit="1" customWidth="1"/>
    <col min="13324" max="13324" width="13.7265625" style="2" bestFit="1" customWidth="1"/>
    <col min="13325" max="13568" width="9.1796875" style="2"/>
    <col min="13569" max="13569" width="34.26953125" style="2" bestFit="1" customWidth="1"/>
    <col min="13570" max="13570" width="10.81640625" style="2" customWidth="1"/>
    <col min="13571" max="13571" width="7" style="2" customWidth="1"/>
    <col min="13572" max="13572" width="2.54296875" style="2" customWidth="1"/>
    <col min="13573" max="13573" width="26" style="2" customWidth="1"/>
    <col min="13574" max="13574" width="10.1796875" style="2" customWidth="1"/>
    <col min="13575" max="13577" width="9.1796875" style="2"/>
    <col min="13578" max="13578" width="14.26953125" style="2" bestFit="1" customWidth="1"/>
    <col min="13579" max="13579" width="15" style="2" bestFit="1" customWidth="1"/>
    <col min="13580" max="13580" width="13.7265625" style="2" bestFit="1" customWidth="1"/>
    <col min="13581" max="13824" width="9.1796875" style="2"/>
    <col min="13825" max="13825" width="34.26953125" style="2" bestFit="1" customWidth="1"/>
    <col min="13826" max="13826" width="10.81640625" style="2" customWidth="1"/>
    <col min="13827" max="13827" width="7" style="2" customWidth="1"/>
    <col min="13828" max="13828" width="2.54296875" style="2" customWidth="1"/>
    <col min="13829" max="13829" width="26" style="2" customWidth="1"/>
    <col min="13830" max="13830" width="10.1796875" style="2" customWidth="1"/>
    <col min="13831" max="13833" width="9.1796875" style="2"/>
    <col min="13834" max="13834" width="14.26953125" style="2" bestFit="1" customWidth="1"/>
    <col min="13835" max="13835" width="15" style="2" bestFit="1" customWidth="1"/>
    <col min="13836" max="13836" width="13.7265625" style="2" bestFit="1" customWidth="1"/>
    <col min="13837" max="14080" width="9.1796875" style="2"/>
    <col min="14081" max="14081" width="34.26953125" style="2" bestFit="1" customWidth="1"/>
    <col min="14082" max="14082" width="10.81640625" style="2" customWidth="1"/>
    <col min="14083" max="14083" width="7" style="2" customWidth="1"/>
    <col min="14084" max="14084" width="2.54296875" style="2" customWidth="1"/>
    <col min="14085" max="14085" width="26" style="2" customWidth="1"/>
    <col min="14086" max="14086" width="10.1796875" style="2" customWidth="1"/>
    <col min="14087" max="14089" width="9.1796875" style="2"/>
    <col min="14090" max="14090" width="14.26953125" style="2" bestFit="1" customWidth="1"/>
    <col min="14091" max="14091" width="15" style="2" bestFit="1" customWidth="1"/>
    <col min="14092" max="14092" width="13.7265625" style="2" bestFit="1" customWidth="1"/>
    <col min="14093" max="14336" width="9.1796875" style="2"/>
    <col min="14337" max="14337" width="34.26953125" style="2" bestFit="1" customWidth="1"/>
    <col min="14338" max="14338" width="10.81640625" style="2" customWidth="1"/>
    <col min="14339" max="14339" width="7" style="2" customWidth="1"/>
    <col min="14340" max="14340" width="2.54296875" style="2" customWidth="1"/>
    <col min="14341" max="14341" width="26" style="2" customWidth="1"/>
    <col min="14342" max="14342" width="10.1796875" style="2" customWidth="1"/>
    <col min="14343" max="14345" width="9.1796875" style="2"/>
    <col min="14346" max="14346" width="14.26953125" style="2" bestFit="1" customWidth="1"/>
    <col min="14347" max="14347" width="15" style="2" bestFit="1" customWidth="1"/>
    <col min="14348" max="14348" width="13.7265625" style="2" bestFit="1" customWidth="1"/>
    <col min="14349" max="14592" width="9.1796875" style="2"/>
    <col min="14593" max="14593" width="34.26953125" style="2" bestFit="1" customWidth="1"/>
    <col min="14594" max="14594" width="10.81640625" style="2" customWidth="1"/>
    <col min="14595" max="14595" width="7" style="2" customWidth="1"/>
    <col min="14596" max="14596" width="2.54296875" style="2" customWidth="1"/>
    <col min="14597" max="14597" width="26" style="2" customWidth="1"/>
    <col min="14598" max="14598" width="10.1796875" style="2" customWidth="1"/>
    <col min="14599" max="14601" width="9.1796875" style="2"/>
    <col min="14602" max="14602" width="14.26953125" style="2" bestFit="1" customWidth="1"/>
    <col min="14603" max="14603" width="15" style="2" bestFit="1" customWidth="1"/>
    <col min="14604" max="14604" width="13.7265625" style="2" bestFit="1" customWidth="1"/>
    <col min="14605" max="14848" width="9.1796875" style="2"/>
    <col min="14849" max="14849" width="34.26953125" style="2" bestFit="1" customWidth="1"/>
    <col min="14850" max="14850" width="10.81640625" style="2" customWidth="1"/>
    <col min="14851" max="14851" width="7" style="2" customWidth="1"/>
    <col min="14852" max="14852" width="2.54296875" style="2" customWidth="1"/>
    <col min="14853" max="14853" width="26" style="2" customWidth="1"/>
    <col min="14854" max="14854" width="10.1796875" style="2" customWidth="1"/>
    <col min="14855" max="14857" width="9.1796875" style="2"/>
    <col min="14858" max="14858" width="14.26953125" style="2" bestFit="1" customWidth="1"/>
    <col min="14859" max="14859" width="15" style="2" bestFit="1" customWidth="1"/>
    <col min="14860" max="14860" width="13.7265625" style="2" bestFit="1" customWidth="1"/>
    <col min="14861" max="15104" width="9.1796875" style="2"/>
    <col min="15105" max="15105" width="34.26953125" style="2" bestFit="1" customWidth="1"/>
    <col min="15106" max="15106" width="10.81640625" style="2" customWidth="1"/>
    <col min="15107" max="15107" width="7" style="2" customWidth="1"/>
    <col min="15108" max="15108" width="2.54296875" style="2" customWidth="1"/>
    <col min="15109" max="15109" width="26" style="2" customWidth="1"/>
    <col min="15110" max="15110" width="10.1796875" style="2" customWidth="1"/>
    <col min="15111" max="15113" width="9.1796875" style="2"/>
    <col min="15114" max="15114" width="14.26953125" style="2" bestFit="1" customWidth="1"/>
    <col min="15115" max="15115" width="15" style="2" bestFit="1" customWidth="1"/>
    <col min="15116" max="15116" width="13.7265625" style="2" bestFit="1" customWidth="1"/>
    <col min="15117" max="15360" width="9.1796875" style="2"/>
    <col min="15361" max="15361" width="34.26953125" style="2" bestFit="1" customWidth="1"/>
    <col min="15362" max="15362" width="10.81640625" style="2" customWidth="1"/>
    <col min="15363" max="15363" width="7" style="2" customWidth="1"/>
    <col min="15364" max="15364" width="2.54296875" style="2" customWidth="1"/>
    <col min="15365" max="15365" width="26" style="2" customWidth="1"/>
    <col min="15366" max="15366" width="10.1796875" style="2" customWidth="1"/>
    <col min="15367" max="15369" width="9.1796875" style="2"/>
    <col min="15370" max="15370" width="14.26953125" style="2" bestFit="1" customWidth="1"/>
    <col min="15371" max="15371" width="15" style="2" bestFit="1" customWidth="1"/>
    <col min="15372" max="15372" width="13.7265625" style="2" bestFit="1" customWidth="1"/>
    <col min="15373" max="15616" width="9.1796875" style="2"/>
    <col min="15617" max="15617" width="34.26953125" style="2" bestFit="1" customWidth="1"/>
    <col min="15618" max="15618" width="10.81640625" style="2" customWidth="1"/>
    <col min="15619" max="15619" width="7" style="2" customWidth="1"/>
    <col min="15620" max="15620" width="2.54296875" style="2" customWidth="1"/>
    <col min="15621" max="15621" width="26" style="2" customWidth="1"/>
    <col min="15622" max="15622" width="10.1796875" style="2" customWidth="1"/>
    <col min="15623" max="15625" width="9.1796875" style="2"/>
    <col min="15626" max="15626" width="14.26953125" style="2" bestFit="1" customWidth="1"/>
    <col min="15627" max="15627" width="15" style="2" bestFit="1" customWidth="1"/>
    <col min="15628" max="15628" width="13.7265625" style="2" bestFit="1" customWidth="1"/>
    <col min="15629" max="15872" width="9.1796875" style="2"/>
    <col min="15873" max="15873" width="34.26953125" style="2" bestFit="1" customWidth="1"/>
    <col min="15874" max="15874" width="10.81640625" style="2" customWidth="1"/>
    <col min="15875" max="15875" width="7" style="2" customWidth="1"/>
    <col min="15876" max="15876" width="2.54296875" style="2" customWidth="1"/>
    <col min="15877" max="15877" width="26" style="2" customWidth="1"/>
    <col min="15878" max="15878" width="10.1796875" style="2" customWidth="1"/>
    <col min="15879" max="15881" width="9.1796875" style="2"/>
    <col min="15882" max="15882" width="14.26953125" style="2" bestFit="1" customWidth="1"/>
    <col min="15883" max="15883" width="15" style="2" bestFit="1" customWidth="1"/>
    <col min="15884" max="15884" width="13.7265625" style="2" bestFit="1" customWidth="1"/>
    <col min="15885" max="16128" width="9.1796875" style="2"/>
    <col min="16129" max="16129" width="34.26953125" style="2" bestFit="1" customWidth="1"/>
    <col min="16130" max="16130" width="10.81640625" style="2" customWidth="1"/>
    <col min="16131" max="16131" width="7" style="2" customWidth="1"/>
    <col min="16132" max="16132" width="2.54296875" style="2" customWidth="1"/>
    <col min="16133" max="16133" width="26" style="2" customWidth="1"/>
    <col min="16134" max="16134" width="10.1796875" style="2" customWidth="1"/>
    <col min="16135" max="16137" width="9.1796875" style="2"/>
    <col min="16138" max="16138" width="14.26953125" style="2" bestFit="1" customWidth="1"/>
    <col min="16139" max="16139" width="15" style="2" bestFit="1" customWidth="1"/>
    <col min="16140" max="16140" width="13.7265625" style="2" bestFit="1" customWidth="1"/>
    <col min="16141" max="16384" width="9.1796875" style="2"/>
  </cols>
  <sheetData>
    <row r="13" spans="1:8" ht="13.5" thickBot="1">
      <c r="A13" s="1"/>
      <c r="B13" s="1"/>
      <c r="C13" s="1"/>
      <c r="D13" s="1"/>
      <c r="E13" s="1"/>
      <c r="F13" s="1"/>
      <c r="G13" s="1"/>
      <c r="H13" s="1"/>
    </row>
    <row r="14" spans="1:8">
      <c r="A14" s="2" t="s">
        <v>281</v>
      </c>
    </row>
    <row r="16" spans="1:8" ht="18">
      <c r="A16" s="3" t="s">
        <v>0</v>
      </c>
    </row>
    <row r="17" spans="1:13" ht="13" customHeight="1">
      <c r="A17" s="2" t="s">
        <v>254</v>
      </c>
      <c r="B17" s="109" t="s">
        <v>277</v>
      </c>
      <c r="F17" s="4" t="str">
        <f>IF(F18&lt;95,"Minimum On-Time Too Low. Reduce Operating Frequency!","")</f>
        <v/>
      </c>
    </row>
    <row r="18" spans="1:13" ht="13" customHeight="1">
      <c r="A18" s="2" t="s">
        <v>1</v>
      </c>
      <c r="B18" s="121">
        <v>500</v>
      </c>
      <c r="C18" s="6" t="s">
        <v>2</v>
      </c>
      <c r="E18" s="2" t="s">
        <v>3</v>
      </c>
      <c r="F18" s="7">
        <f>D*1000000000/(Fs*1000)</f>
        <v>320.26307822347133</v>
      </c>
      <c r="G18" s="6" t="s">
        <v>4</v>
      </c>
    </row>
    <row r="19" spans="1:13" ht="13" customHeight="1">
      <c r="A19" s="2" t="str">
        <f>IF(OR(Vin&lt;3.8,Vin&gt;40),"Input Voltage Out of Range","Input Voltage (3.8V-40V)")</f>
        <v>Input Voltage (3.8V-40V)</v>
      </c>
      <c r="B19" s="134">
        <v>32</v>
      </c>
      <c r="C19" s="6" t="s">
        <v>5</v>
      </c>
      <c r="D19" s="125"/>
      <c r="E19" s="2" t="s">
        <v>6</v>
      </c>
      <c r="F19" s="9">
        <f>(Vout + (Iout*((DCR+Ron_l)/1000)))/(Vin+(Iout*((Ron_l-Ron_u)/1000)))</f>
        <v>0.16013153911173567</v>
      </c>
      <c r="G19" s="6"/>
      <c r="H19" s="10"/>
    </row>
    <row r="20" spans="1:13" ht="13" customHeight="1">
      <c r="A20" s="2" t="str">
        <f>IF(OR(Vout&lt;0.8,Vout&gt;Vin), "Voltage Out of Range", "Ouput Voltage")</f>
        <v>Ouput Voltage</v>
      </c>
      <c r="B20" s="134">
        <v>5</v>
      </c>
      <c r="C20" s="6" t="s">
        <v>5</v>
      </c>
      <c r="E20" s="2" t="s">
        <v>7</v>
      </c>
      <c r="F20" s="11">
        <f>Vout/Iout</f>
        <v>5</v>
      </c>
      <c r="G20" s="6" t="s">
        <v>8</v>
      </c>
    </row>
    <row r="21" spans="1:13" ht="13" customHeight="1">
      <c r="A21" s="2" t="s">
        <v>9</v>
      </c>
      <c r="B21" s="115">
        <v>1</v>
      </c>
      <c r="C21" s="6" t="s">
        <v>10</v>
      </c>
    </row>
    <row r="22" spans="1:13" ht="13" customHeight="1">
      <c r="A22" s="4" t="str">
        <f>IF(AND(OR(B17="AP64100",B17="AP64100Q"),Iout+0.5*Irip&gt;1.5),"Output Current Too High", IF(AND(OR(B17="AP64200",B17="AP64200Q"),Iout+0.5*Irip&gt;2.5),"Output Current Too High", IF(AND(OR(B17="AP64350",B17="AP64350Q"),Iout+0.5*Irip&gt;4.25),"Output Current Too High", IF(AND(OR(B17="AP64500",B17="AP64500Q"),Iout+0.5*Irip&gt;6.8),"Output Current Too High", " "))))</f>
        <v xml:space="preserve"> </v>
      </c>
      <c r="B22" s="129"/>
      <c r="E22" s="2" t="s">
        <v>11</v>
      </c>
      <c r="F22" s="9">
        <f>Iout*SQRT(D)*SQRT(1+1/3*(Irip/2/Iout)^2)</f>
        <v>0.40832432603403163</v>
      </c>
      <c r="G22" s="6" t="s">
        <v>10</v>
      </c>
    </row>
    <row r="23" spans="1:13" ht="13" customHeight="1">
      <c r="A23" s="13" t="s">
        <v>12</v>
      </c>
      <c r="B23" s="117"/>
      <c r="E23" s="2" t="s">
        <v>13</v>
      </c>
      <c r="F23" s="9">
        <f>Iout*SQRT(1-D)*SQRT(1+1/3*(Irip/2/Iout)^2)</f>
        <v>0.93513099362474539</v>
      </c>
      <c r="G23" s="6" t="s">
        <v>10</v>
      </c>
    </row>
    <row r="24" spans="1:13" ht="13" customHeight="1">
      <c r="A24" s="14" t="s">
        <v>14</v>
      </c>
      <c r="B24" s="118">
        <v>40</v>
      </c>
      <c r="C24" s="15" t="s">
        <v>15</v>
      </c>
      <c r="F24" s="12"/>
    </row>
    <row r="25" spans="1:13" ht="13" customHeight="1">
      <c r="A25" s="14"/>
      <c r="B25" s="119"/>
      <c r="C25" s="14"/>
      <c r="F25" s="12"/>
    </row>
    <row r="26" spans="1:13" ht="13" customHeight="1">
      <c r="A26" s="14" t="s">
        <v>16</v>
      </c>
      <c r="B26" s="120">
        <f>IF(OR(B17="AP64100",B17="AP64100Q"),MAX((((Vin-Vout)*D)/((Fs*10^3)*1*(LIR/100)))*10^6,Vout*Dmax*1000000/(0.8*Se*Compensation!C28)),(IF(OR(B17="AP64200",B17="AP64200Q"),MAX((((Vin-Vout)*D)/((Fs*10^3)*2*(LIR/100)))*10^6,Vout*Dmax*1000000/(0.8*Se*Compensation!C28)),IF(OR(B17="AP64350",B17="AP64350Q"),MAX((((Vin-Vout)*D)/((Fs*10^3)*3.5*(LIR/100)))*10^6,Vout*Dmax*1000000/(0.8*Se*Compensation!C28)),MAX((((Vin-Vout)*D)/((Fs*10^3)*5*(LIR/100)))*10^6,Vout*Dmax*1000000/(0.8*Se*Compensation!C28))))))</f>
        <v>21.617757780084315</v>
      </c>
      <c r="C26" s="15" t="s">
        <v>17</v>
      </c>
      <c r="E26" s="2" t="s">
        <v>18</v>
      </c>
      <c r="F26" s="9">
        <f>(Vin-Vout)*((Vout)/(Vin*Lout*10^(-6)*Fs*10^3))</f>
        <v>0.703125</v>
      </c>
      <c r="G26" s="6" t="s">
        <v>19</v>
      </c>
      <c r="H26" s="10"/>
      <c r="J26" s="17"/>
      <c r="K26" s="17"/>
      <c r="L26" s="17"/>
      <c r="M26" s="4"/>
    </row>
    <row r="27" spans="1:13" ht="13" customHeight="1">
      <c r="A27" s="2" t="str">
        <f>IF(OR(B17="AP64100",B17="AP64100Q"),"Output Inductor (Isat &gt; 4A)", (IF(OR(B17="AP64200",B17="AP64200Q"),"Output Inductor (Isat &gt; 5A)",(IF(OR(B17="AP64350",B17="AP64350Q"),"Output Inductor (Isat &gt; 6A)","Output Inductor (Isat &gt; 9A)")))))</f>
        <v>Output Inductor (Isat &gt; 4A)</v>
      </c>
      <c r="B27" s="115">
        <v>12</v>
      </c>
      <c r="C27" s="6" t="s">
        <v>17</v>
      </c>
      <c r="E27" s="2" t="s">
        <v>246</v>
      </c>
      <c r="F27" s="7">
        <f>Irip*ESR/ncap+Irip/(8*Fs*ncap*Cap*0.000001)</f>
        <v>4.0896045918367356</v>
      </c>
      <c r="G27" s="6" t="s">
        <v>248</v>
      </c>
      <c r="J27" s="16"/>
      <c r="K27" s="16" t="s">
        <v>32</v>
      </c>
      <c r="L27" s="16" t="s">
        <v>21</v>
      </c>
      <c r="M27" s="4"/>
    </row>
    <row r="28" spans="1:13" ht="13" customHeight="1">
      <c r="A28" s="18" t="s">
        <v>22</v>
      </c>
      <c r="B28" s="121">
        <v>5</v>
      </c>
      <c r="C28" s="6" t="s">
        <v>23</v>
      </c>
      <c r="E28" s="4" t="str">
        <f>IF(Vout*Dmax/(Lout*0.000001)&gt;0.85*Se*Compensation!C28, "Must Increase L", " ")</f>
        <v xml:space="preserve"> </v>
      </c>
      <c r="G28" s="14"/>
      <c r="J28" s="16" t="s">
        <v>24</v>
      </c>
      <c r="K28" s="19">
        <f>B55</f>
        <v>3.2585376742587185E-2</v>
      </c>
      <c r="L28" s="19">
        <f>B56+B57+B58+B59</f>
        <v>0.23855987170838958</v>
      </c>
      <c r="M28" s="4"/>
    </row>
    <row r="29" spans="1:13" ht="13" customHeight="1">
      <c r="A29" s="18"/>
      <c r="B29" s="117"/>
      <c r="G29" s="14"/>
      <c r="J29" s="16" t="s">
        <v>25</v>
      </c>
      <c r="K29" s="19">
        <f>B72</f>
        <v>9.153514465799617E-2</v>
      </c>
      <c r="L29" s="19">
        <f>B73+B74+B75</f>
        <v>7.8665803080964894E-2</v>
      </c>
      <c r="M29" s="4"/>
    </row>
    <row r="30" spans="1:13" ht="13" customHeight="1">
      <c r="A30" s="13" t="s">
        <v>26</v>
      </c>
      <c r="B30" s="117"/>
      <c r="D30" s="14"/>
      <c r="E30" s="108" t="s">
        <v>249</v>
      </c>
      <c r="F30" s="14"/>
      <c r="G30" s="14"/>
      <c r="J30" s="16" t="s">
        <v>27</v>
      </c>
      <c r="K30" s="16"/>
      <c r="L30" s="19">
        <f>B82+B83</f>
        <v>1E-3</v>
      </c>
      <c r="M30" s="4"/>
    </row>
    <row r="31" spans="1:13" ht="13" customHeight="1">
      <c r="A31" s="2" t="s">
        <v>28</v>
      </c>
      <c r="B31" s="121">
        <v>7</v>
      </c>
      <c r="D31" s="14"/>
      <c r="E31" s="114" t="s">
        <v>250</v>
      </c>
      <c r="F31" s="8">
        <v>27</v>
      </c>
      <c r="G31" s="6" t="str">
        <f>IF(F31&lt;3.7, "Too Low", "V")</f>
        <v>V</v>
      </c>
      <c r="J31" s="16" t="s">
        <v>20</v>
      </c>
      <c r="K31" s="19">
        <f>B89</f>
        <v>5.8239746093749992E-3</v>
      </c>
      <c r="L31" s="19">
        <f>B88</f>
        <v>2.8090146329760031E-3</v>
      </c>
      <c r="M31" s="4"/>
    </row>
    <row r="32" spans="1:13" ht="13" customHeight="1">
      <c r="A32" s="2" t="s">
        <v>29</v>
      </c>
      <c r="B32" s="121">
        <v>7</v>
      </c>
      <c r="C32" s="6" t="s">
        <v>30</v>
      </c>
      <c r="E32" s="114" t="s">
        <v>252</v>
      </c>
      <c r="F32" s="8">
        <v>24</v>
      </c>
      <c r="G32" s="6" t="str">
        <f>IF(F32&lt;3.3,"Too Low", IF(F32&gt;F31, "Too High", "V"))</f>
        <v>V</v>
      </c>
      <c r="J32" s="16" t="s">
        <v>31</v>
      </c>
      <c r="K32" s="90">
        <f>B93</f>
        <v>2.9427664620535715E-5</v>
      </c>
      <c r="L32" s="16"/>
      <c r="M32" s="4"/>
    </row>
    <row r="33" spans="1:13" ht="13" customHeight="1">
      <c r="A33" s="2" t="s">
        <v>33</v>
      </c>
      <c r="B33" s="121">
        <v>5</v>
      </c>
      <c r="C33" s="6" t="s">
        <v>23</v>
      </c>
      <c r="E33" s="114"/>
      <c r="J33" s="4"/>
      <c r="K33" s="4"/>
      <c r="L33" s="4"/>
      <c r="M33" s="4"/>
    </row>
    <row r="34" spans="1:13" ht="13" customHeight="1">
      <c r="B34" s="122"/>
      <c r="E34" s="114" t="s">
        <v>268</v>
      </c>
      <c r="F34" s="127">
        <f>IF(F31=3.7, "Open",(0.924*F31-F32)/0.0041)</f>
        <v>231.21951219512204</v>
      </c>
      <c r="G34" s="6" t="s">
        <v>251</v>
      </c>
      <c r="J34" s="4"/>
      <c r="K34" s="4"/>
      <c r="L34" s="4"/>
      <c r="M34" s="4"/>
    </row>
    <row r="35" spans="1:13" ht="13" customHeight="1">
      <c r="A35" s="13" t="s">
        <v>34</v>
      </c>
      <c r="B35" s="123"/>
      <c r="E35" s="114" t="s">
        <v>269</v>
      </c>
      <c r="F35" s="127">
        <f>IF(F34="Open", "Open", 1.09*F34/(F32-1.09+0.0055*F34))</f>
        <v>10.422310756972115</v>
      </c>
      <c r="G35" s="6" t="s">
        <v>251</v>
      </c>
      <c r="I35" s="17" t="s">
        <v>277</v>
      </c>
      <c r="J35" s="4"/>
      <c r="K35" s="4"/>
      <c r="L35" s="4"/>
      <c r="M35" s="4"/>
    </row>
    <row r="36" spans="1:13" ht="13" customHeight="1">
      <c r="A36" s="2" t="s">
        <v>35</v>
      </c>
      <c r="B36" s="116">
        <f>IF(OR(B17="AP64100",B17="AP64100Q",B17="AP64200",B17="AP64200Q"),150*(1+0.005*(F40+150*0.001*Iout^2*Vout/Vin*F39-25)), (IF(OR(B17="AP64350",B17="AP64350Q"),80*(1+0.005*(F40+80*0.001*Iout^2*Vout/Vin*F39-25)),45*(1+0.005*(F40+45*0.001*Iout^2*Vout/Vin*F39-25)))))</f>
        <v>195.439453125</v>
      </c>
      <c r="C36" s="6" t="s">
        <v>23</v>
      </c>
      <c r="E36" s="114" t="s">
        <v>266</v>
      </c>
      <c r="F36" s="7">
        <f>100000/Fs</f>
        <v>200</v>
      </c>
      <c r="G36" s="6" t="s">
        <v>251</v>
      </c>
      <c r="I36" s="17" t="s">
        <v>278</v>
      </c>
      <c r="J36" s="4"/>
      <c r="K36" s="4"/>
      <c r="L36" s="4"/>
      <c r="M36" s="4"/>
    </row>
    <row r="37" spans="1:13" ht="13" customHeight="1">
      <c r="B37" s="123"/>
      <c r="E37" s="17" t="s">
        <v>257</v>
      </c>
      <c r="F37" s="126" t="s">
        <v>256</v>
      </c>
      <c r="G37" s="110" t="str">
        <f>IF(F37="Internal","COMP=GND","")</f>
        <v/>
      </c>
      <c r="I37" s="17" t="s">
        <v>279</v>
      </c>
      <c r="J37" s="4"/>
      <c r="K37" s="4"/>
    </row>
    <row r="38" spans="1:13" ht="13" customHeight="1">
      <c r="A38" s="13" t="s">
        <v>36</v>
      </c>
      <c r="B38" s="122"/>
      <c r="E38" s="10"/>
      <c r="H38" s="135"/>
      <c r="I38" s="173" t="s">
        <v>280</v>
      </c>
      <c r="J38" s="135"/>
      <c r="K38" s="135"/>
    </row>
    <row r="39" spans="1:13" ht="13" customHeight="1">
      <c r="A39" s="2" t="s">
        <v>35</v>
      </c>
      <c r="B39" s="116">
        <f>IF(OR(B17="AP64100",B17="AP64100Q",B17="AP64200",B17="AP64200Q"),80*(1+0.005*(F40+80*0.001*Iout^2*(1-Vout/Vin)*F39-25)), (IF(OR(B17="AP64350",B17="AP64350Q"),50*(1+0.005*(F40+50*0.001*Iout^2*(1-Vout/Vin)*F39-25)),20*(1+0.005*(F40+20*0.001*Iout^2*(1-Vout/Vin)*F39-25)))))</f>
        <v>104.67500000000001</v>
      </c>
      <c r="C39" s="6" t="s">
        <v>23</v>
      </c>
      <c r="E39" s="113" t="s">
        <v>262</v>
      </c>
      <c r="F39" s="105">
        <v>25</v>
      </c>
      <c r="G39" s="22" t="s">
        <v>37</v>
      </c>
      <c r="H39" s="135"/>
      <c r="I39" s="173" t="s">
        <v>264</v>
      </c>
      <c r="J39" s="135" t="s">
        <v>255</v>
      </c>
      <c r="K39" s="135">
        <v>2</v>
      </c>
    </row>
    <row r="40" spans="1:13" ht="13" customHeight="1">
      <c r="B40" s="122"/>
      <c r="E40" s="21" t="s">
        <v>263</v>
      </c>
      <c r="F40" s="105">
        <v>85</v>
      </c>
      <c r="G40" s="22" t="s">
        <v>38</v>
      </c>
      <c r="H40" s="135"/>
      <c r="I40" s="173" t="s">
        <v>275</v>
      </c>
      <c r="J40" s="135" t="s">
        <v>256</v>
      </c>
      <c r="K40" s="135">
        <v>3.5</v>
      </c>
    </row>
    <row r="41" spans="1:13" ht="13" customHeight="1">
      <c r="A41" s="23" t="s">
        <v>39</v>
      </c>
      <c r="B41" s="124">
        <f>Tloss</f>
        <v>0.64297918543228882</v>
      </c>
      <c r="C41" s="24" t="s">
        <v>40</v>
      </c>
      <c r="E41" s="21" t="s">
        <v>282</v>
      </c>
      <c r="F41" s="25">
        <f>+F40+F39*F42</f>
        <v>96.058654904748451</v>
      </c>
      <c r="G41" s="22" t="str">
        <f>IF(F41&gt;H42,"Thermal too high","°C")</f>
        <v>°C</v>
      </c>
      <c r="H41" s="135"/>
      <c r="I41" s="173" t="s">
        <v>265</v>
      </c>
      <c r="J41" s="135"/>
      <c r="K41" s="135"/>
    </row>
    <row r="42" spans="1:13" ht="13" customHeight="1">
      <c r="A42" s="23" t="s">
        <v>41</v>
      </c>
      <c r="B42" s="124">
        <f>Efficiency</f>
        <v>88.60567859097938</v>
      </c>
      <c r="C42" s="24" t="s">
        <v>15</v>
      </c>
      <c r="E42" s="2" t="s">
        <v>42</v>
      </c>
      <c r="F42" s="26">
        <f>+K28+L28+K29+L29+L30</f>
        <v>0.44234619618993781</v>
      </c>
      <c r="G42" s="27" t="s">
        <v>43</v>
      </c>
      <c r="H42" s="135">
        <f>IF(OR(B17="AP64100Q",B17="AP64200Q",B17="AP64350Q",B17="AP64500Q"),145,125)</f>
        <v>125</v>
      </c>
      <c r="I42" s="173" t="s">
        <v>276</v>
      </c>
      <c r="J42" s="135"/>
      <c r="K42" s="135"/>
    </row>
    <row r="43" spans="1:13" ht="13" customHeight="1" thickBot="1">
      <c r="A43" s="1"/>
      <c r="B43" s="28"/>
      <c r="C43" s="1"/>
      <c r="D43" s="1"/>
      <c r="E43" s="1"/>
      <c r="F43" s="1"/>
      <c r="G43" s="1"/>
      <c r="H43" s="1"/>
      <c r="I43" s="4"/>
      <c r="J43" s="4"/>
      <c r="K43" s="4"/>
    </row>
    <row r="44" spans="1:13" s="29" customFormat="1" ht="13" customHeight="1">
      <c r="A44" s="2"/>
      <c r="B44" s="20"/>
      <c r="C44" s="2"/>
      <c r="D44" s="2"/>
      <c r="E44" s="2"/>
      <c r="F44" s="2"/>
      <c r="G44" s="2"/>
      <c r="H44" s="17"/>
      <c r="I44" s="4"/>
    </row>
    <row r="45" spans="1:13" s="30" customFormat="1" ht="13" customHeight="1">
      <c r="A45" s="136" t="s">
        <v>34</v>
      </c>
      <c r="B45" s="137"/>
      <c r="C45" s="137"/>
      <c r="D45" s="137"/>
      <c r="E45" s="137"/>
      <c r="F45" s="137"/>
      <c r="G45" s="137"/>
      <c r="H45" s="137"/>
      <c r="I45" s="16"/>
      <c r="J45" s="16"/>
    </row>
    <row r="46" spans="1:13" s="30" customFormat="1" ht="13" customHeight="1">
      <c r="A46" s="137" t="s">
        <v>44</v>
      </c>
      <c r="B46" s="138">
        <f>B36</f>
        <v>195.439453125</v>
      </c>
      <c r="C46" s="137" t="s">
        <v>23</v>
      </c>
      <c r="D46" s="137"/>
      <c r="E46" s="137"/>
      <c r="F46" s="137"/>
      <c r="G46" s="137"/>
      <c r="H46" s="137"/>
      <c r="I46" s="16"/>
      <c r="J46" s="16"/>
    </row>
    <row r="47" spans="1:13" s="30" customFormat="1" ht="13" customHeight="1">
      <c r="A47" s="137" t="s">
        <v>45</v>
      </c>
      <c r="B47" s="137">
        <v>1.2</v>
      </c>
      <c r="C47" s="137" t="s">
        <v>5</v>
      </c>
      <c r="D47" s="137"/>
      <c r="E47" s="137"/>
      <c r="F47" s="137"/>
      <c r="G47" s="137"/>
      <c r="H47" s="137"/>
      <c r="I47" s="16"/>
      <c r="J47" s="16"/>
    </row>
    <row r="48" spans="1:13" s="30" customFormat="1" ht="13" customHeight="1">
      <c r="A48" s="137" t="s">
        <v>46</v>
      </c>
      <c r="B48" s="137">
        <v>0.3</v>
      </c>
      <c r="C48" s="137" t="s">
        <v>47</v>
      </c>
      <c r="D48" s="137"/>
      <c r="E48" s="137"/>
      <c r="F48" s="137"/>
      <c r="G48" s="137"/>
      <c r="H48" s="137"/>
      <c r="I48" s="16"/>
      <c r="J48" s="16"/>
    </row>
    <row r="49" spans="1:10" s="30" customFormat="1" ht="13" customHeight="1">
      <c r="A49" s="137" t="s">
        <v>48</v>
      </c>
      <c r="B49" s="137">
        <v>0.2</v>
      </c>
      <c r="C49" s="137" t="s">
        <v>47</v>
      </c>
      <c r="D49" s="137"/>
      <c r="E49" s="137"/>
      <c r="F49" s="137"/>
      <c r="G49" s="137"/>
      <c r="H49" s="137"/>
      <c r="I49" s="16"/>
      <c r="J49"/>
    </row>
    <row r="50" spans="1:10" s="30" customFormat="1" ht="13" customHeight="1">
      <c r="A50" s="137" t="s">
        <v>49</v>
      </c>
      <c r="B50" s="139">
        <f>+E50/Ron_u</f>
        <v>0.15350022485384501</v>
      </c>
      <c r="C50" s="137" t="s">
        <v>50</v>
      </c>
      <c r="D50" s="137" t="s">
        <v>51</v>
      </c>
      <c r="E50" s="140">
        <v>30</v>
      </c>
      <c r="F50" s="137" t="s">
        <v>52</v>
      </c>
      <c r="G50" s="137"/>
      <c r="H50" s="137"/>
      <c r="I50" s="16"/>
      <c r="J50" s="16"/>
    </row>
    <row r="51" spans="1:10" s="30" customFormat="1" ht="13" customHeight="1">
      <c r="A51" s="137" t="s">
        <v>53</v>
      </c>
      <c r="B51" s="141">
        <f>+E51/Ron_u</f>
        <v>0.10233348323589667</v>
      </c>
      <c r="C51" s="137" t="s">
        <v>50</v>
      </c>
      <c r="D51" s="137" t="s">
        <v>54</v>
      </c>
      <c r="E51" s="140">
        <v>20</v>
      </c>
      <c r="F51" s="137" t="s">
        <v>52</v>
      </c>
      <c r="G51" s="137"/>
      <c r="H51" s="137"/>
      <c r="I51" s="16"/>
      <c r="J51" s="16"/>
    </row>
    <row r="52" spans="1:10" s="30" customFormat="1" ht="13" customHeight="1">
      <c r="A52" s="137" t="s">
        <v>55</v>
      </c>
      <c r="B52" s="137">
        <v>15</v>
      </c>
      <c r="C52" s="137" t="s">
        <v>4</v>
      </c>
      <c r="D52" s="137" t="s">
        <v>56</v>
      </c>
      <c r="E52" s="137"/>
      <c r="F52" s="137"/>
      <c r="G52" s="137"/>
      <c r="H52" s="137"/>
      <c r="I52" s="16"/>
      <c r="J52" s="16"/>
    </row>
    <row r="53" spans="1:10" s="30" customFormat="1" ht="13" customHeight="1">
      <c r="A53" s="142" t="s">
        <v>57</v>
      </c>
      <c r="B53" s="137">
        <v>12</v>
      </c>
      <c r="C53" s="142" t="s">
        <v>4</v>
      </c>
      <c r="D53" s="137" t="s">
        <v>58</v>
      </c>
      <c r="E53" s="137"/>
      <c r="F53" s="137"/>
      <c r="G53" s="137"/>
      <c r="H53" s="137"/>
      <c r="I53" s="16"/>
      <c r="J53" s="16"/>
    </row>
    <row r="54" spans="1:10" s="32" customFormat="1" ht="13" customHeight="1">
      <c r="A54" s="143" t="s">
        <v>59</v>
      </c>
      <c r="B54" s="144">
        <v>1</v>
      </c>
      <c r="C54" s="142"/>
      <c r="D54" s="142" t="s">
        <v>60</v>
      </c>
      <c r="E54" s="142"/>
      <c r="F54" s="142"/>
      <c r="G54" s="142"/>
      <c r="H54" s="142"/>
      <c r="I54" s="31"/>
      <c r="J54" s="31"/>
    </row>
    <row r="55" spans="1:10" s="30" customFormat="1" ht="13" customHeight="1">
      <c r="A55" s="137" t="s">
        <v>61</v>
      </c>
      <c r="B55" s="145">
        <f>Iu_rms^2*B46/B54/1000</f>
        <v>3.2585376742587185E-2</v>
      </c>
      <c r="C55" s="137" t="s">
        <v>43</v>
      </c>
      <c r="D55" s="137" t="s">
        <v>62</v>
      </c>
      <c r="E55" s="137"/>
      <c r="F55" s="137"/>
      <c r="G55" s="137"/>
      <c r="H55" s="137"/>
      <c r="I55" s="16"/>
      <c r="J55" s="16"/>
    </row>
    <row r="56" spans="1:10" s="30" customFormat="1" ht="13" customHeight="1">
      <c r="A56" s="137" t="s">
        <v>63</v>
      </c>
      <c r="B56" s="145">
        <f>Vin*(Iout-0.5*Irip)*B52*10^(-9)*Fs*10^(3)/2</f>
        <v>7.7812500000000021E-2</v>
      </c>
      <c r="C56" s="137" t="s">
        <v>43</v>
      </c>
      <c r="D56" s="137" t="s">
        <v>64</v>
      </c>
      <c r="E56" s="137"/>
      <c r="F56" s="137"/>
      <c r="G56" s="137"/>
      <c r="H56" s="137"/>
      <c r="I56" s="16"/>
      <c r="J56" s="16"/>
    </row>
    <row r="57" spans="1:10" s="30" customFormat="1" ht="13" customHeight="1">
      <c r="A57" s="137" t="s">
        <v>65</v>
      </c>
      <c r="B57" s="145">
        <f>Vin*(Iout+0.5*Irip)*B53*10^(-9)*Fs*10^(3)/2</f>
        <v>0.12975</v>
      </c>
      <c r="C57" s="137" t="s">
        <v>43</v>
      </c>
      <c r="D57" s="137" t="s">
        <v>66</v>
      </c>
      <c r="E57" s="137"/>
      <c r="F57" s="137"/>
      <c r="G57" s="137"/>
      <c r="H57" s="137"/>
      <c r="I57" s="16"/>
      <c r="J57" s="16"/>
    </row>
    <row r="58" spans="1:10" s="30" customFormat="1" ht="13" customHeight="1">
      <c r="A58" s="137" t="s">
        <v>67</v>
      </c>
      <c r="B58" s="145">
        <f>Vin*Fs*10^3*B48*10^(-9)*B54</f>
        <v>4.8000000000000004E-3</v>
      </c>
      <c r="C58" s="137" t="s">
        <v>43</v>
      </c>
      <c r="D58" s="137" t="s">
        <v>68</v>
      </c>
      <c r="E58" s="137"/>
      <c r="F58" s="137"/>
      <c r="G58" s="137"/>
      <c r="H58" s="137"/>
      <c r="I58" s="16"/>
      <c r="J58" s="16"/>
    </row>
    <row r="59" spans="1:10" s="30" customFormat="1" ht="13" customHeight="1">
      <c r="A59" s="137" t="s">
        <v>69</v>
      </c>
      <c r="B59" s="145">
        <f>0.5*B51*10^(-9)*Vin^2*Fs*10^3*B54</f>
        <v>2.6197371708389549E-2</v>
      </c>
      <c r="C59" s="137" t="s">
        <v>43</v>
      </c>
      <c r="D59" s="137" t="s">
        <v>70</v>
      </c>
      <c r="E59" s="137"/>
      <c r="F59" s="137"/>
      <c r="G59" s="137"/>
      <c r="H59" s="137"/>
      <c r="I59" s="16"/>
      <c r="J59" s="16"/>
    </row>
    <row r="60" spans="1:10" s="30" customFormat="1" ht="13" customHeight="1">
      <c r="A60" s="137" t="s">
        <v>71</v>
      </c>
      <c r="B60" s="145">
        <f>SUM(B55:B59)</f>
        <v>0.27114524845097676</v>
      </c>
      <c r="C60" s="137" t="s">
        <v>43</v>
      </c>
      <c r="D60" s="137" t="s">
        <v>72</v>
      </c>
      <c r="E60" s="137"/>
      <c r="F60" s="137"/>
      <c r="G60" s="137"/>
      <c r="H60" s="137"/>
      <c r="I60" s="16"/>
      <c r="J60" s="19"/>
    </row>
    <row r="61" spans="1:10" s="30" customFormat="1" ht="13" customHeight="1">
      <c r="A61" s="137"/>
      <c r="B61" s="137"/>
      <c r="C61" s="137"/>
      <c r="D61" s="137"/>
      <c r="E61" s="137"/>
      <c r="F61" s="137"/>
      <c r="G61" s="137"/>
      <c r="H61" s="137"/>
      <c r="I61" s="16"/>
      <c r="J61" s="16"/>
    </row>
    <row r="62" spans="1:10" s="30" customFormat="1" ht="13" customHeight="1">
      <c r="A62" s="136" t="s">
        <v>36</v>
      </c>
      <c r="B62" s="137"/>
      <c r="C62" s="137"/>
      <c r="D62" s="137"/>
      <c r="E62" s="137"/>
      <c r="F62" s="137"/>
      <c r="G62" s="137"/>
      <c r="H62" s="137"/>
      <c r="I62" s="16"/>
      <c r="J62" s="16"/>
    </row>
    <row r="63" spans="1:10" s="30" customFormat="1" ht="13" customHeight="1">
      <c r="A63" s="137" t="s">
        <v>44</v>
      </c>
      <c r="B63" s="138">
        <f>B39</f>
        <v>104.67500000000001</v>
      </c>
      <c r="C63" s="137" t="s">
        <v>23</v>
      </c>
      <c r="D63" s="137"/>
      <c r="E63" s="137"/>
      <c r="F63" s="137"/>
      <c r="G63" s="137"/>
      <c r="H63" s="137"/>
      <c r="I63" s="16"/>
      <c r="J63" s="16"/>
    </row>
    <row r="64" spans="1:10" s="30" customFormat="1" ht="13" customHeight="1">
      <c r="A64" s="137" t="s">
        <v>45</v>
      </c>
      <c r="B64" s="137">
        <v>1.2</v>
      </c>
      <c r="C64" s="137" t="s">
        <v>5</v>
      </c>
      <c r="D64" s="137"/>
      <c r="E64" s="137"/>
      <c r="F64" s="137"/>
      <c r="G64" s="137"/>
      <c r="H64" s="137"/>
      <c r="I64" s="16"/>
      <c r="J64" s="16"/>
    </row>
    <row r="65" spans="1:10" s="30" customFormat="1" ht="13" customHeight="1">
      <c r="A65" s="137" t="s">
        <v>46</v>
      </c>
      <c r="B65" s="137">
        <v>0.3</v>
      </c>
      <c r="C65" s="137" t="s">
        <v>47</v>
      </c>
      <c r="D65" s="137"/>
      <c r="E65" s="137"/>
      <c r="F65" s="137"/>
      <c r="G65" s="137"/>
      <c r="H65" s="137"/>
      <c r="I65" s="16"/>
      <c r="J65" s="16"/>
    </row>
    <row r="66" spans="1:10" s="30" customFormat="1" ht="13" customHeight="1">
      <c r="A66" s="137" t="s">
        <v>48</v>
      </c>
      <c r="B66" s="137">
        <v>0.2</v>
      </c>
      <c r="C66" s="137" t="s">
        <v>47</v>
      </c>
      <c r="D66" s="137"/>
      <c r="E66" s="137"/>
      <c r="F66" s="137"/>
      <c r="G66" s="137"/>
      <c r="H66" s="137"/>
      <c r="I66" s="16"/>
      <c r="J66" s="16"/>
    </row>
    <row r="67" spans="1:10" s="30" customFormat="1" ht="13" customHeight="1">
      <c r="A67" s="137" t="s">
        <v>49</v>
      </c>
      <c r="B67" s="146">
        <f>+E67/Ron_l</f>
        <v>0.28660138524002865</v>
      </c>
      <c r="C67" s="137" t="s">
        <v>50</v>
      </c>
      <c r="D67" s="137" t="s">
        <v>51</v>
      </c>
      <c r="E67" s="140">
        <v>30</v>
      </c>
      <c r="F67" s="137" t="s">
        <v>52</v>
      </c>
      <c r="G67" s="137"/>
      <c r="H67" s="137"/>
      <c r="I67" s="16"/>
      <c r="J67" s="16"/>
    </row>
    <row r="68" spans="1:10" s="30" customFormat="1" ht="13" customHeight="1">
      <c r="A68" s="137" t="s">
        <v>53</v>
      </c>
      <c r="B68" s="141">
        <f>+E68/Ron_l</f>
        <v>0.19106759016001909</v>
      </c>
      <c r="C68" s="137" t="s">
        <v>50</v>
      </c>
      <c r="D68" s="137" t="s">
        <v>54</v>
      </c>
      <c r="E68" s="140">
        <v>20</v>
      </c>
      <c r="F68" s="137" t="s">
        <v>52</v>
      </c>
      <c r="G68" s="137"/>
      <c r="H68" s="137"/>
      <c r="I68" s="16"/>
      <c r="J68" s="16"/>
    </row>
    <row r="69" spans="1:10" s="30" customFormat="1" ht="13" customHeight="1">
      <c r="A69" s="137" t="s">
        <v>73</v>
      </c>
      <c r="B69" s="137">
        <v>20.2</v>
      </c>
      <c r="C69" s="137" t="s">
        <v>4</v>
      </c>
      <c r="D69" s="137" t="s">
        <v>74</v>
      </c>
      <c r="E69" s="137"/>
      <c r="F69" s="137"/>
      <c r="G69" s="137"/>
      <c r="H69" s="137"/>
      <c r="I69" s="16"/>
      <c r="J69" s="16"/>
    </row>
    <row r="70" spans="1:10" s="30" customFormat="1" ht="13" customHeight="1">
      <c r="A70" s="142" t="s">
        <v>75</v>
      </c>
      <c r="B70" s="142">
        <v>28.2</v>
      </c>
      <c r="C70" s="142" t="s">
        <v>4</v>
      </c>
      <c r="D70" s="137" t="s">
        <v>76</v>
      </c>
      <c r="E70" s="137"/>
      <c r="F70" s="137"/>
      <c r="G70" s="137"/>
      <c r="H70" s="137"/>
      <c r="I70" s="16"/>
      <c r="J70" s="16"/>
    </row>
    <row r="71" spans="1:10" s="32" customFormat="1" ht="13" customHeight="1">
      <c r="A71" s="142" t="s">
        <v>59</v>
      </c>
      <c r="B71" s="144">
        <v>1</v>
      </c>
      <c r="C71" s="142"/>
      <c r="D71" s="142" t="s">
        <v>77</v>
      </c>
      <c r="E71" s="142"/>
      <c r="F71" s="142"/>
      <c r="G71" s="142"/>
      <c r="H71" s="142"/>
      <c r="I71" s="31"/>
      <c r="J71" s="31"/>
    </row>
    <row r="72" spans="1:10" s="30" customFormat="1" ht="13" customHeight="1">
      <c r="A72" s="137" t="s">
        <v>61</v>
      </c>
      <c r="B72" s="145">
        <f>Il_rms^2*B63/1000/B71</f>
        <v>9.153514465799617E-2</v>
      </c>
      <c r="C72" s="137" t="s">
        <v>43</v>
      </c>
      <c r="D72" s="137" t="s">
        <v>78</v>
      </c>
      <c r="E72" s="137"/>
      <c r="F72" s="137"/>
      <c r="G72" s="137"/>
      <c r="H72" s="137"/>
      <c r="I72" s="16"/>
      <c r="J72" s="16"/>
    </row>
    <row r="73" spans="1:10" s="30" customFormat="1" ht="12.75" customHeight="1">
      <c r="A73" s="137" t="s">
        <v>67</v>
      </c>
      <c r="B73" s="145">
        <f>B64*Fs*10^(-6)*((Iout+0.5*Irip)*B69+(Iout-0.5*Irip)*B70)</f>
        <v>2.7352499999999998E-2</v>
      </c>
      <c r="C73" s="137" t="s">
        <v>43</v>
      </c>
      <c r="D73" s="137" t="s">
        <v>79</v>
      </c>
      <c r="E73" s="137"/>
      <c r="F73" s="137"/>
      <c r="G73" s="137"/>
      <c r="H73" s="137"/>
      <c r="I73" s="16"/>
      <c r="J73" s="16"/>
    </row>
    <row r="74" spans="1:10" s="30" customFormat="1" ht="13" customHeight="1">
      <c r="A74" s="137" t="s">
        <v>80</v>
      </c>
      <c r="B74" s="145">
        <f>0.5*B65*Vin* Fs*10^(-6)*B71</f>
        <v>2.3999999999999998E-3</v>
      </c>
      <c r="C74" s="137" t="s">
        <v>43</v>
      </c>
      <c r="D74" s="137" t="s">
        <v>243</v>
      </c>
      <c r="E74" s="137"/>
      <c r="F74" s="137"/>
      <c r="G74" s="137"/>
      <c r="H74" s="137"/>
      <c r="I74" s="16"/>
      <c r="J74" s="16"/>
    </row>
    <row r="75" spans="1:10" s="30" customFormat="1" ht="13" customHeight="1">
      <c r="A75" s="137" t="s">
        <v>69</v>
      </c>
      <c r="B75" s="145">
        <f>B68*10^(-9)*B71*Vin^2*Fs*1000/2</f>
        <v>4.8913303080964893E-2</v>
      </c>
      <c r="C75" s="137" t="s">
        <v>43</v>
      </c>
      <c r="D75" s="137" t="s">
        <v>70</v>
      </c>
      <c r="E75" s="137"/>
      <c r="F75" s="137"/>
      <c r="G75" s="137"/>
      <c r="H75" s="137"/>
      <c r="I75" s="16"/>
      <c r="J75" s="16"/>
    </row>
    <row r="76" spans="1:10" s="30" customFormat="1" ht="13" customHeight="1">
      <c r="A76" s="137" t="s">
        <v>81</v>
      </c>
      <c r="B76" s="145">
        <f>B72+B73+B74+B75</f>
        <v>0.17020094773896105</v>
      </c>
      <c r="C76" s="137" t="s">
        <v>43</v>
      </c>
      <c r="D76" s="137" t="s">
        <v>82</v>
      </c>
      <c r="E76" s="137"/>
      <c r="F76" s="137"/>
      <c r="G76" s="137"/>
      <c r="H76" s="137"/>
      <c r="I76" s="16"/>
      <c r="J76" s="16"/>
    </row>
    <row r="77" spans="1:10" s="30" customFormat="1" ht="13" customHeight="1">
      <c r="A77" s="137"/>
      <c r="B77" s="137"/>
      <c r="C77" s="137"/>
      <c r="D77" s="137"/>
      <c r="E77" s="137"/>
      <c r="F77" s="137"/>
      <c r="G77" s="137"/>
      <c r="H77" s="137"/>
      <c r="I77" s="16"/>
      <c r="J77" s="16"/>
    </row>
    <row r="78" spans="1:10" s="30" customFormat="1" ht="13" customHeight="1">
      <c r="A78" s="147" t="s">
        <v>83</v>
      </c>
      <c r="B78" s="137"/>
      <c r="C78" s="137"/>
      <c r="D78" s="137"/>
      <c r="E78" s="137"/>
      <c r="F78" s="137"/>
      <c r="G78" s="137"/>
      <c r="H78" s="137"/>
      <c r="I78" s="16"/>
      <c r="J78" s="16"/>
    </row>
    <row r="79" spans="1:10" s="30" customFormat="1" ht="13" customHeight="1">
      <c r="A79" s="137" t="s">
        <v>84</v>
      </c>
      <c r="B79" s="137">
        <f>IF(Vin&lt;5.7, Vin, 5)</f>
        <v>5</v>
      </c>
      <c r="C79" s="137" t="s">
        <v>5</v>
      </c>
      <c r="D79" s="137"/>
      <c r="E79" s="137"/>
      <c r="F79" s="137"/>
      <c r="G79" s="137"/>
      <c r="H79" s="137"/>
      <c r="I79" s="16"/>
      <c r="J79" s="16"/>
    </row>
    <row r="80" spans="1:10" s="32" customFormat="1" ht="13" customHeight="1">
      <c r="A80" s="142" t="s">
        <v>85</v>
      </c>
      <c r="B80" s="137">
        <f>IF(Vin&lt;5.7, Vin, 5)</f>
        <v>5</v>
      </c>
      <c r="C80" s="142" t="s">
        <v>5</v>
      </c>
      <c r="D80" s="142"/>
      <c r="E80" s="142"/>
      <c r="F80" s="142"/>
      <c r="G80" s="142"/>
      <c r="H80" s="142"/>
      <c r="I80" s="31"/>
      <c r="J80" s="31"/>
    </row>
    <row r="81" spans="1:10" s="32" customFormat="1" ht="13" customHeight="1">
      <c r="A81" s="142" t="s">
        <v>86</v>
      </c>
      <c r="B81" s="142">
        <v>6</v>
      </c>
      <c r="C81" s="142" t="s">
        <v>87</v>
      </c>
      <c r="D81" s="142" t="s">
        <v>88</v>
      </c>
      <c r="E81" s="142"/>
      <c r="F81" s="142"/>
      <c r="G81" s="142"/>
      <c r="H81" s="142"/>
      <c r="I81" s="31"/>
      <c r="J81" s="31"/>
    </row>
    <row r="82" spans="1:10" s="30" customFormat="1" ht="13" customHeight="1">
      <c r="A82" s="137" t="s">
        <v>89</v>
      </c>
      <c r="B82" s="145">
        <f>Fs*B79*B49*10^(-6)*B54</f>
        <v>5.0000000000000001E-4</v>
      </c>
      <c r="C82" s="137" t="s">
        <v>43</v>
      </c>
      <c r="D82" s="137" t="s">
        <v>90</v>
      </c>
      <c r="E82" s="137"/>
      <c r="F82" s="137"/>
      <c r="G82" s="137"/>
      <c r="H82" s="137"/>
      <c r="I82" s="16"/>
      <c r="J82" s="16"/>
    </row>
    <row r="83" spans="1:10" s="30" customFormat="1" ht="13" customHeight="1">
      <c r="A83" s="137" t="s">
        <v>91</v>
      </c>
      <c r="B83" s="145">
        <f>Fs*B80*B66*10^(-6)*B71</f>
        <v>5.0000000000000001E-4</v>
      </c>
      <c r="C83" s="137" t="s">
        <v>43</v>
      </c>
      <c r="D83" s="137" t="s">
        <v>92</v>
      </c>
      <c r="E83" s="137"/>
      <c r="F83" s="137"/>
      <c r="G83" s="137"/>
      <c r="H83" s="137"/>
      <c r="I83" s="16"/>
      <c r="J83" s="16"/>
    </row>
    <row r="84" spans="1:10" s="30" customFormat="1" ht="13" customHeight="1">
      <c r="A84" s="148" t="s">
        <v>93</v>
      </c>
      <c r="B84" s="149">
        <f>+(Vin-B80)*B81/1000</f>
        <v>0.16200000000000001</v>
      </c>
      <c r="C84" s="148" t="s">
        <v>43</v>
      </c>
      <c r="D84" s="148" t="s">
        <v>94</v>
      </c>
      <c r="E84" s="148"/>
      <c r="F84" s="137"/>
      <c r="G84" s="137"/>
      <c r="H84" s="137"/>
      <c r="I84" s="16"/>
      <c r="J84" s="16"/>
    </row>
    <row r="85" spans="1:10" s="30" customFormat="1" ht="13" customHeight="1">
      <c r="A85" s="137" t="s">
        <v>95</v>
      </c>
      <c r="B85" s="145">
        <f>B82+B83+B84+B81*B80*0.001</f>
        <v>0.193</v>
      </c>
      <c r="C85" s="137" t="s">
        <v>43</v>
      </c>
      <c r="D85" s="137" t="s">
        <v>96</v>
      </c>
      <c r="E85" s="137"/>
      <c r="F85" s="137"/>
      <c r="G85" s="137"/>
      <c r="H85" s="137"/>
      <c r="I85" s="16"/>
      <c r="J85" s="16"/>
    </row>
    <row r="86" spans="1:10" s="30" customFormat="1" ht="13" customHeight="1">
      <c r="A86" s="137"/>
      <c r="B86" s="137"/>
      <c r="C86" s="137"/>
      <c r="D86" s="137"/>
      <c r="E86" s="137"/>
      <c r="F86" s="137"/>
      <c r="G86" s="137"/>
      <c r="H86" s="137"/>
      <c r="I86" s="16"/>
      <c r="J86" s="16"/>
    </row>
    <row r="87" spans="1:10" s="30" customFormat="1" ht="13" customHeight="1">
      <c r="A87" s="147" t="s">
        <v>97</v>
      </c>
      <c r="B87" s="137"/>
      <c r="C87" s="137"/>
      <c r="D87" s="137"/>
      <c r="E87" s="137"/>
      <c r="F87" s="137"/>
      <c r="G87" s="137"/>
      <c r="H87" s="137"/>
      <c r="I87" s="16"/>
      <c r="J87" s="16"/>
    </row>
    <row r="88" spans="1:10" s="30" customFormat="1" ht="13" customHeight="1">
      <c r="A88" s="137" t="s">
        <v>98</v>
      </c>
      <c r="B88" s="145">
        <f>0.7*10^(-9)*(Fs)^1.35*(57.8*0.5*Irip)^2.263</f>
        <v>2.8090146329760031E-3</v>
      </c>
      <c r="C88" s="137" t="s">
        <v>43</v>
      </c>
      <c r="D88" s="137" t="s">
        <v>99</v>
      </c>
      <c r="E88" s="137"/>
      <c r="F88" s="137"/>
      <c r="G88" s="137"/>
      <c r="H88" s="137"/>
      <c r="I88" s="16"/>
      <c r="J88" s="16"/>
    </row>
    <row r="89" spans="1:10" s="30" customFormat="1" ht="13" customHeight="1">
      <c r="A89" s="137" t="s">
        <v>100</v>
      </c>
      <c r="B89" s="145">
        <f>DCR/1000*(Iout*SQRT(1+1/3*(Irip/Iout)^2))^2</f>
        <v>5.8239746093749992E-3</v>
      </c>
      <c r="C89" s="137" t="s">
        <v>43</v>
      </c>
      <c r="D89" s="137" t="s">
        <v>101</v>
      </c>
      <c r="E89" s="137"/>
      <c r="F89" s="137"/>
      <c r="G89" s="137"/>
      <c r="H89" s="137"/>
      <c r="I89" s="16"/>
      <c r="J89" s="16"/>
    </row>
    <row r="90" spans="1:10" s="30" customFormat="1" ht="13" customHeight="1">
      <c r="A90" s="137" t="s">
        <v>102</v>
      </c>
      <c r="B90" s="145">
        <f>B88+B89</f>
        <v>8.6329892423510027E-3</v>
      </c>
      <c r="C90" s="137" t="s">
        <v>43</v>
      </c>
      <c r="D90" s="137" t="s">
        <v>103</v>
      </c>
      <c r="E90" s="137"/>
      <c r="F90" s="137"/>
      <c r="G90" s="137"/>
      <c r="H90" s="137"/>
      <c r="I90" s="16"/>
      <c r="J90" s="16"/>
    </row>
    <row r="91" spans="1:10" s="30" customFormat="1" ht="13" customHeight="1">
      <c r="A91" s="137"/>
      <c r="B91" s="145"/>
      <c r="C91" s="137"/>
      <c r="D91" s="137"/>
      <c r="E91" s="137"/>
      <c r="F91" s="137"/>
      <c r="G91" s="137"/>
      <c r="H91" s="137"/>
      <c r="I91" s="16"/>
      <c r="J91" s="16"/>
    </row>
    <row r="92" spans="1:10" s="30" customFormat="1" ht="13" customHeight="1">
      <c r="A92" s="147" t="s">
        <v>104</v>
      </c>
      <c r="B92" s="137"/>
      <c r="C92" s="137"/>
      <c r="D92" s="137"/>
      <c r="E92" s="137"/>
      <c r="F92" s="137"/>
      <c r="G92" s="137"/>
      <c r="H92" s="137"/>
      <c r="I92" s="16"/>
      <c r="J92" s="16"/>
    </row>
    <row r="93" spans="1:10" s="30" customFormat="1" ht="13" customHeight="1">
      <c r="A93" s="137" t="s">
        <v>105</v>
      </c>
      <c r="B93" s="150">
        <f>(0.5*Irip/SQRT(3))^2*B33/B31/1000</f>
        <v>2.9427664620535715E-5</v>
      </c>
      <c r="C93" s="137" t="s">
        <v>43</v>
      </c>
      <c r="D93" s="137" t="s">
        <v>106</v>
      </c>
      <c r="E93" s="137"/>
      <c r="F93" s="137"/>
      <c r="G93" s="137"/>
      <c r="H93" s="137"/>
      <c r="I93" s="16"/>
      <c r="J93" s="16"/>
    </row>
    <row r="94" spans="1:10" s="30" customFormat="1" ht="13" customHeight="1">
      <c r="A94" s="137"/>
      <c r="B94" s="137"/>
      <c r="C94" s="137"/>
      <c r="D94" s="137"/>
      <c r="E94" s="137"/>
      <c r="F94" s="137"/>
      <c r="G94" s="137"/>
      <c r="H94" s="137"/>
      <c r="I94" s="16"/>
      <c r="J94" s="16"/>
    </row>
    <row r="95" spans="1:10" s="30" customFormat="1" ht="13" customHeight="1">
      <c r="A95" s="136" t="s">
        <v>39</v>
      </c>
      <c r="B95" s="151">
        <f>B85+B76+B60+B90</f>
        <v>0.64297918543228882</v>
      </c>
      <c r="C95" s="147" t="s">
        <v>43</v>
      </c>
      <c r="D95" s="137"/>
      <c r="E95" s="137"/>
      <c r="F95" s="137"/>
      <c r="G95" s="137"/>
      <c r="H95" s="137"/>
      <c r="I95" s="16"/>
      <c r="J95" s="16"/>
    </row>
    <row r="96" spans="1:10" s="30" customFormat="1" ht="13" customHeight="1">
      <c r="A96" s="136" t="s">
        <v>41</v>
      </c>
      <c r="B96" s="151">
        <f>Vout*Iout/(Vout*Iout+B95)*100</f>
        <v>88.60567859097938</v>
      </c>
      <c r="C96" s="147" t="s">
        <v>15</v>
      </c>
      <c r="D96" s="137"/>
      <c r="E96" s="137"/>
      <c r="F96" s="137"/>
      <c r="G96" s="137"/>
      <c r="H96" s="137"/>
      <c r="I96" s="16"/>
      <c r="J96" s="16"/>
    </row>
    <row r="97" spans="1:10" s="29" customFormat="1" ht="13" customHeight="1">
      <c r="A97" s="152"/>
      <c r="B97" s="152"/>
      <c r="C97" s="152"/>
      <c r="D97" s="152"/>
      <c r="E97" s="152"/>
      <c r="F97" s="152"/>
      <c r="G97" s="152"/>
      <c r="H97" s="152"/>
      <c r="I97" s="17"/>
      <c r="J97" s="17"/>
    </row>
    <row r="98" spans="1:10" ht="13" customHeight="1">
      <c r="A98" s="4"/>
      <c r="B98" s="4"/>
      <c r="C98" s="4"/>
      <c r="D98" s="4"/>
      <c r="E98" s="4"/>
      <c r="F98" s="4"/>
      <c r="G98" s="4"/>
      <c r="H98" s="17"/>
      <c r="I98" s="17"/>
      <c r="J98" s="17"/>
    </row>
    <row r="99" spans="1:10" ht="13" customHeight="1">
      <c r="A99" s="4"/>
      <c r="B99" s="4"/>
      <c r="C99" s="4"/>
      <c r="D99" s="4"/>
      <c r="E99" s="4"/>
      <c r="F99" s="4"/>
      <c r="G99" s="4"/>
      <c r="H99" s="17"/>
      <c r="I99" s="17"/>
      <c r="J99" s="17"/>
    </row>
    <row r="100" spans="1:10" ht="13" customHeight="1">
      <c r="A100" s="4"/>
      <c r="B100" s="33"/>
      <c r="C100" s="4"/>
      <c r="D100" s="4"/>
      <c r="E100" s="4"/>
      <c r="F100" s="4"/>
      <c r="G100" s="4"/>
      <c r="H100" s="17"/>
      <c r="I100" s="17"/>
      <c r="J100" s="17"/>
    </row>
    <row r="101" spans="1:10" ht="13" customHeight="1">
      <c r="A101" s="4"/>
      <c r="B101" s="4"/>
      <c r="C101" s="4"/>
      <c r="D101" s="4"/>
      <c r="E101" s="4"/>
      <c r="F101" s="4"/>
      <c r="G101" s="4"/>
      <c r="H101" s="17"/>
      <c r="I101" s="17"/>
      <c r="J101" s="17"/>
    </row>
    <row r="102" spans="1:10" ht="13" customHeight="1">
      <c r="A102" s="4"/>
      <c r="B102" s="4"/>
      <c r="C102" s="4"/>
      <c r="D102" s="4"/>
      <c r="E102" s="4"/>
      <c r="F102" s="4"/>
      <c r="G102" s="4"/>
      <c r="H102" s="17"/>
      <c r="I102" s="17"/>
      <c r="J102" s="17"/>
    </row>
    <row r="103" spans="1:10" ht="13" customHeight="1">
      <c r="A103" s="4"/>
      <c r="B103" s="4"/>
      <c r="C103" s="4"/>
      <c r="D103" s="4"/>
      <c r="E103" s="4"/>
      <c r="F103" s="4"/>
      <c r="G103" s="4"/>
      <c r="H103" s="17"/>
      <c r="I103" s="17"/>
      <c r="J103" s="17"/>
    </row>
    <row r="104" spans="1:10" ht="13" customHeight="1">
      <c r="A104" s="4"/>
      <c r="B104" s="4"/>
      <c r="C104" s="4"/>
      <c r="D104" s="4"/>
      <c r="E104" s="4"/>
      <c r="F104" s="4"/>
      <c r="G104" s="4"/>
      <c r="H104" s="17"/>
      <c r="I104" s="17"/>
      <c r="J104" s="17"/>
    </row>
    <row r="105" spans="1:10" ht="13" customHeight="1">
      <c r="A105" s="4"/>
      <c r="B105" s="4"/>
      <c r="C105" s="4"/>
      <c r="D105" s="4"/>
      <c r="E105" s="4"/>
      <c r="F105" s="4"/>
      <c r="G105" s="4"/>
      <c r="H105" s="17"/>
      <c r="I105" s="17"/>
      <c r="J105" s="17"/>
    </row>
    <row r="106" spans="1:10" ht="13" customHeight="1">
      <c r="A106" s="4"/>
      <c r="B106" s="4"/>
      <c r="C106" s="4"/>
      <c r="D106" s="4"/>
      <c r="E106" s="4"/>
      <c r="F106" s="4"/>
      <c r="G106" s="4"/>
      <c r="H106" s="17"/>
    </row>
    <row r="107" spans="1:10" ht="13" customHeight="1">
      <c r="A107" s="4"/>
      <c r="B107" s="4"/>
      <c r="C107" s="4"/>
      <c r="D107" s="4"/>
      <c r="E107" s="4"/>
      <c r="F107" s="4"/>
      <c r="G107" s="4"/>
    </row>
    <row r="108" spans="1:10" ht="13" customHeight="1">
      <c r="A108" s="4"/>
      <c r="B108" s="4"/>
      <c r="C108" s="4"/>
      <c r="D108" s="4"/>
      <c r="E108" s="4"/>
      <c r="F108" s="4"/>
      <c r="G108" s="4"/>
    </row>
    <row r="109" spans="1:10" ht="13" customHeight="1">
      <c r="A109" s="4"/>
      <c r="B109" s="4"/>
      <c r="C109" s="4"/>
      <c r="D109" s="4"/>
      <c r="E109" s="4"/>
      <c r="F109" s="4"/>
      <c r="G109" s="4"/>
    </row>
    <row r="110" spans="1:10" ht="13" customHeight="1">
      <c r="A110" s="4"/>
      <c r="B110" s="4"/>
      <c r="C110" s="4"/>
      <c r="D110" s="4"/>
      <c r="E110" s="4"/>
      <c r="F110" s="4"/>
      <c r="G110" s="4"/>
    </row>
    <row r="111" spans="1:10" ht="13" customHeight="1">
      <c r="A111" s="4"/>
      <c r="B111" s="4"/>
      <c r="C111" s="4"/>
      <c r="D111" s="4"/>
      <c r="E111" s="4"/>
      <c r="F111" s="4"/>
      <c r="G111" s="4"/>
    </row>
    <row r="112" spans="1:10" ht="13" customHeight="1">
      <c r="A112" s="4"/>
      <c r="B112" s="4"/>
      <c r="C112" s="4"/>
      <c r="D112" s="4"/>
      <c r="E112" s="4"/>
      <c r="F112" s="4"/>
      <c r="G112" s="4"/>
    </row>
    <row r="113" spans="1:7" ht="13" customHeight="1">
      <c r="A113" s="4"/>
      <c r="B113" s="4"/>
      <c r="C113" s="4"/>
      <c r="D113" s="4"/>
      <c r="E113" s="4"/>
      <c r="F113" s="4"/>
      <c r="G113" s="4"/>
    </row>
    <row r="114" spans="1:7" ht="13" customHeight="1">
      <c r="A114" s="4"/>
      <c r="B114" s="4"/>
      <c r="C114" s="4"/>
      <c r="D114" s="4"/>
      <c r="E114" s="4"/>
      <c r="F114" s="4"/>
      <c r="G114" s="4"/>
    </row>
    <row r="115" spans="1:7" ht="13" customHeight="1">
      <c r="A115" s="4"/>
      <c r="B115" s="4"/>
      <c r="C115" s="4"/>
      <c r="D115" s="4"/>
      <c r="E115" s="4"/>
      <c r="F115" s="4"/>
      <c r="G115" s="4"/>
    </row>
    <row r="116" spans="1:7" ht="13" customHeight="1">
      <c r="A116" s="4"/>
      <c r="B116" s="4"/>
      <c r="C116" s="4"/>
      <c r="D116" s="4"/>
      <c r="E116" s="4"/>
      <c r="F116" s="4"/>
      <c r="G116" s="4"/>
    </row>
    <row r="117" spans="1:7" ht="13" customHeight="1"/>
    <row r="118" spans="1:7" ht="13" customHeight="1"/>
  </sheetData>
  <sheetProtection password="C6F9" sheet="1" objects="1" scenarios="1" selectLockedCells="1"/>
  <conditionalFormatting sqref="B19">
    <cfRule type="cellIs" dxfId="5" priority="4" operator="between">
      <formula>3.2</formula>
      <formula>40</formula>
    </cfRule>
  </conditionalFormatting>
  <conditionalFormatting sqref="A19">
    <cfRule type="containsText" dxfId="4" priority="3" operator="containsText" text="Input Voltage Out of Range">
      <formula>NOT(ISERROR(SEARCH("Input Voltage Out of Range",A19)))</formula>
    </cfRule>
  </conditionalFormatting>
  <conditionalFormatting sqref="B20">
    <cfRule type="cellIs" dxfId="3" priority="2" operator="between">
      <formula>0.8</formula>
      <formula>"$B$19"</formula>
    </cfRule>
  </conditionalFormatting>
  <conditionalFormatting sqref="A20">
    <cfRule type="containsText" dxfId="2" priority="1" operator="containsText" text="Voltage Out of Range">
      <formula>NOT(ISERROR(SEARCH("Voltage Out of Range",A20)))</formula>
    </cfRule>
  </conditionalFormatting>
  <dataValidations count="2">
    <dataValidation type="list" allowBlank="1" showInputMessage="1" showErrorMessage="1" sqref="B17">
      <formula1>$I$35:$I$42</formula1>
    </dataValidation>
    <dataValidation type="list" allowBlank="1" showInputMessage="1" showErrorMessage="1" sqref="F37">
      <formula1>$J$39:$J$40</formula1>
    </dataValidation>
  </dataValidations>
  <pageMargins left="0.7" right="0.7" top="0.75" bottom="0.75" header="0.3" footer="0.3"/>
  <pageSetup orientation="portrait" verticalDpi="598" r:id="rId1"/>
  <drawing r:id="rId2"/>
  <legacyDrawing r:id="rId3"/>
  <oleObjects>
    <mc:AlternateContent xmlns:mc="http://schemas.openxmlformats.org/markup-compatibility/2006">
      <mc:Choice Requires="x14">
        <oleObject progId="Visio.Drawing.11" shapeId="1034" r:id="rId4">
          <objectPr defaultSize="0" autoPict="0" r:id="rId5">
            <anchor moveWithCells="1">
              <from>
                <xdr:col>7</xdr:col>
                <xdr:colOff>381000</xdr:colOff>
                <xdr:row>14</xdr:row>
                <xdr:rowOff>152400</xdr:rowOff>
              </from>
              <to>
                <xdr:col>17</xdr:col>
                <xdr:colOff>50800</xdr:colOff>
                <xdr:row>32</xdr:row>
                <xdr:rowOff>88900</xdr:rowOff>
              </to>
            </anchor>
          </objectPr>
        </oleObject>
      </mc:Choice>
      <mc:Fallback>
        <oleObject progId="Visio.Drawing.11" shapeId="1034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8"/>
  <sheetViews>
    <sheetView workbookViewId="0">
      <selection activeCell="B9" sqref="B9"/>
    </sheetView>
  </sheetViews>
  <sheetFormatPr defaultRowHeight="13" customHeight="1"/>
  <cols>
    <col min="1" max="1" width="15.7265625" style="2" customWidth="1"/>
    <col min="2" max="2" width="17.1796875" style="2" customWidth="1"/>
    <col min="3" max="3" width="11.81640625" style="2" customWidth="1"/>
    <col min="4" max="4" width="19.81640625" style="2" customWidth="1"/>
    <col min="5" max="5" width="12.1796875" style="2" customWidth="1"/>
    <col min="6" max="6" width="10.7265625" style="2" customWidth="1"/>
    <col min="7" max="7" width="27.1796875" style="2" customWidth="1"/>
    <col min="8" max="8" width="23.7265625" style="2" customWidth="1"/>
    <col min="9" max="13" width="9.26953125" style="2" bestFit="1" customWidth="1"/>
    <col min="14" max="15" width="12.26953125" style="2" bestFit="1" customWidth="1"/>
    <col min="16" max="17" width="9.26953125" style="2" bestFit="1" customWidth="1"/>
    <col min="18" max="256" width="9.1796875" style="2"/>
    <col min="257" max="257" width="15.7265625" style="2" customWidth="1"/>
    <col min="258" max="258" width="17.1796875" style="2" customWidth="1"/>
    <col min="259" max="259" width="11.81640625" style="2" customWidth="1"/>
    <col min="260" max="260" width="11" style="2" customWidth="1"/>
    <col min="261" max="261" width="24.7265625" style="2" customWidth="1"/>
    <col min="262" max="262" width="10.7265625" style="2" customWidth="1"/>
    <col min="263" max="263" width="27.1796875" style="2" customWidth="1"/>
    <col min="264" max="264" width="23.7265625" style="2" customWidth="1"/>
    <col min="265" max="512" width="9.1796875" style="2"/>
    <col min="513" max="513" width="15.7265625" style="2" customWidth="1"/>
    <col min="514" max="514" width="17.1796875" style="2" customWidth="1"/>
    <col min="515" max="515" width="11.81640625" style="2" customWidth="1"/>
    <col min="516" max="516" width="11" style="2" customWidth="1"/>
    <col min="517" max="517" width="24.7265625" style="2" customWidth="1"/>
    <col min="518" max="518" width="10.7265625" style="2" customWidth="1"/>
    <col min="519" max="519" width="27.1796875" style="2" customWidth="1"/>
    <col min="520" max="520" width="23.7265625" style="2" customWidth="1"/>
    <col min="521" max="768" width="9.1796875" style="2"/>
    <col min="769" max="769" width="15.7265625" style="2" customWidth="1"/>
    <col min="770" max="770" width="17.1796875" style="2" customWidth="1"/>
    <col min="771" max="771" width="11.81640625" style="2" customWidth="1"/>
    <col min="772" max="772" width="11" style="2" customWidth="1"/>
    <col min="773" max="773" width="24.7265625" style="2" customWidth="1"/>
    <col min="774" max="774" width="10.7265625" style="2" customWidth="1"/>
    <col min="775" max="775" width="27.1796875" style="2" customWidth="1"/>
    <col min="776" max="776" width="23.7265625" style="2" customWidth="1"/>
    <col min="777" max="1024" width="9.1796875" style="2"/>
    <col min="1025" max="1025" width="15.7265625" style="2" customWidth="1"/>
    <col min="1026" max="1026" width="17.1796875" style="2" customWidth="1"/>
    <col min="1027" max="1027" width="11.81640625" style="2" customWidth="1"/>
    <col min="1028" max="1028" width="11" style="2" customWidth="1"/>
    <col min="1029" max="1029" width="24.7265625" style="2" customWidth="1"/>
    <col min="1030" max="1030" width="10.7265625" style="2" customWidth="1"/>
    <col min="1031" max="1031" width="27.1796875" style="2" customWidth="1"/>
    <col min="1032" max="1032" width="23.7265625" style="2" customWidth="1"/>
    <col min="1033" max="1280" width="9.1796875" style="2"/>
    <col min="1281" max="1281" width="15.7265625" style="2" customWidth="1"/>
    <col min="1282" max="1282" width="17.1796875" style="2" customWidth="1"/>
    <col min="1283" max="1283" width="11.81640625" style="2" customWidth="1"/>
    <col min="1284" max="1284" width="11" style="2" customWidth="1"/>
    <col min="1285" max="1285" width="24.7265625" style="2" customWidth="1"/>
    <col min="1286" max="1286" width="10.7265625" style="2" customWidth="1"/>
    <col min="1287" max="1287" width="27.1796875" style="2" customWidth="1"/>
    <col min="1288" max="1288" width="23.7265625" style="2" customWidth="1"/>
    <col min="1289" max="1536" width="9.1796875" style="2"/>
    <col min="1537" max="1537" width="15.7265625" style="2" customWidth="1"/>
    <col min="1538" max="1538" width="17.1796875" style="2" customWidth="1"/>
    <col min="1539" max="1539" width="11.81640625" style="2" customWidth="1"/>
    <col min="1540" max="1540" width="11" style="2" customWidth="1"/>
    <col min="1541" max="1541" width="24.7265625" style="2" customWidth="1"/>
    <col min="1542" max="1542" width="10.7265625" style="2" customWidth="1"/>
    <col min="1543" max="1543" width="27.1796875" style="2" customWidth="1"/>
    <col min="1544" max="1544" width="23.7265625" style="2" customWidth="1"/>
    <col min="1545" max="1792" width="9.1796875" style="2"/>
    <col min="1793" max="1793" width="15.7265625" style="2" customWidth="1"/>
    <col min="1794" max="1794" width="17.1796875" style="2" customWidth="1"/>
    <col min="1795" max="1795" width="11.81640625" style="2" customWidth="1"/>
    <col min="1796" max="1796" width="11" style="2" customWidth="1"/>
    <col min="1797" max="1797" width="24.7265625" style="2" customWidth="1"/>
    <col min="1798" max="1798" width="10.7265625" style="2" customWidth="1"/>
    <col min="1799" max="1799" width="27.1796875" style="2" customWidth="1"/>
    <col min="1800" max="1800" width="23.7265625" style="2" customWidth="1"/>
    <col min="1801" max="2048" width="9.1796875" style="2"/>
    <col min="2049" max="2049" width="15.7265625" style="2" customWidth="1"/>
    <col min="2050" max="2050" width="17.1796875" style="2" customWidth="1"/>
    <col min="2051" max="2051" width="11.81640625" style="2" customWidth="1"/>
    <col min="2052" max="2052" width="11" style="2" customWidth="1"/>
    <col min="2053" max="2053" width="24.7265625" style="2" customWidth="1"/>
    <col min="2054" max="2054" width="10.7265625" style="2" customWidth="1"/>
    <col min="2055" max="2055" width="27.1796875" style="2" customWidth="1"/>
    <col min="2056" max="2056" width="23.7265625" style="2" customWidth="1"/>
    <col min="2057" max="2304" width="9.1796875" style="2"/>
    <col min="2305" max="2305" width="15.7265625" style="2" customWidth="1"/>
    <col min="2306" max="2306" width="17.1796875" style="2" customWidth="1"/>
    <col min="2307" max="2307" width="11.81640625" style="2" customWidth="1"/>
    <col min="2308" max="2308" width="11" style="2" customWidth="1"/>
    <col min="2309" max="2309" width="24.7265625" style="2" customWidth="1"/>
    <col min="2310" max="2310" width="10.7265625" style="2" customWidth="1"/>
    <col min="2311" max="2311" width="27.1796875" style="2" customWidth="1"/>
    <col min="2312" max="2312" width="23.7265625" style="2" customWidth="1"/>
    <col min="2313" max="2560" width="9.1796875" style="2"/>
    <col min="2561" max="2561" width="15.7265625" style="2" customWidth="1"/>
    <col min="2562" max="2562" width="17.1796875" style="2" customWidth="1"/>
    <col min="2563" max="2563" width="11.81640625" style="2" customWidth="1"/>
    <col min="2564" max="2564" width="11" style="2" customWidth="1"/>
    <col min="2565" max="2565" width="24.7265625" style="2" customWidth="1"/>
    <col min="2566" max="2566" width="10.7265625" style="2" customWidth="1"/>
    <col min="2567" max="2567" width="27.1796875" style="2" customWidth="1"/>
    <col min="2568" max="2568" width="23.7265625" style="2" customWidth="1"/>
    <col min="2569" max="2816" width="9.1796875" style="2"/>
    <col min="2817" max="2817" width="15.7265625" style="2" customWidth="1"/>
    <col min="2818" max="2818" width="17.1796875" style="2" customWidth="1"/>
    <col min="2819" max="2819" width="11.81640625" style="2" customWidth="1"/>
    <col min="2820" max="2820" width="11" style="2" customWidth="1"/>
    <col min="2821" max="2821" width="24.7265625" style="2" customWidth="1"/>
    <col min="2822" max="2822" width="10.7265625" style="2" customWidth="1"/>
    <col min="2823" max="2823" width="27.1796875" style="2" customWidth="1"/>
    <col min="2824" max="2824" width="23.7265625" style="2" customWidth="1"/>
    <col min="2825" max="3072" width="9.1796875" style="2"/>
    <col min="3073" max="3073" width="15.7265625" style="2" customWidth="1"/>
    <col min="3074" max="3074" width="17.1796875" style="2" customWidth="1"/>
    <col min="3075" max="3075" width="11.81640625" style="2" customWidth="1"/>
    <col min="3076" max="3076" width="11" style="2" customWidth="1"/>
    <col min="3077" max="3077" width="24.7265625" style="2" customWidth="1"/>
    <col min="3078" max="3078" width="10.7265625" style="2" customWidth="1"/>
    <col min="3079" max="3079" width="27.1796875" style="2" customWidth="1"/>
    <col min="3080" max="3080" width="23.7265625" style="2" customWidth="1"/>
    <col min="3081" max="3328" width="9.1796875" style="2"/>
    <col min="3329" max="3329" width="15.7265625" style="2" customWidth="1"/>
    <col min="3330" max="3330" width="17.1796875" style="2" customWidth="1"/>
    <col min="3331" max="3331" width="11.81640625" style="2" customWidth="1"/>
    <col min="3332" max="3332" width="11" style="2" customWidth="1"/>
    <col min="3333" max="3333" width="24.7265625" style="2" customWidth="1"/>
    <col min="3334" max="3334" width="10.7265625" style="2" customWidth="1"/>
    <col min="3335" max="3335" width="27.1796875" style="2" customWidth="1"/>
    <col min="3336" max="3336" width="23.7265625" style="2" customWidth="1"/>
    <col min="3337" max="3584" width="9.1796875" style="2"/>
    <col min="3585" max="3585" width="15.7265625" style="2" customWidth="1"/>
    <col min="3586" max="3586" width="17.1796875" style="2" customWidth="1"/>
    <col min="3587" max="3587" width="11.81640625" style="2" customWidth="1"/>
    <col min="3588" max="3588" width="11" style="2" customWidth="1"/>
    <col min="3589" max="3589" width="24.7265625" style="2" customWidth="1"/>
    <col min="3590" max="3590" width="10.7265625" style="2" customWidth="1"/>
    <col min="3591" max="3591" width="27.1796875" style="2" customWidth="1"/>
    <col min="3592" max="3592" width="23.7265625" style="2" customWidth="1"/>
    <col min="3593" max="3840" width="9.1796875" style="2"/>
    <col min="3841" max="3841" width="15.7265625" style="2" customWidth="1"/>
    <col min="3842" max="3842" width="17.1796875" style="2" customWidth="1"/>
    <col min="3843" max="3843" width="11.81640625" style="2" customWidth="1"/>
    <col min="3844" max="3844" width="11" style="2" customWidth="1"/>
    <col min="3845" max="3845" width="24.7265625" style="2" customWidth="1"/>
    <col min="3846" max="3846" width="10.7265625" style="2" customWidth="1"/>
    <col min="3847" max="3847" width="27.1796875" style="2" customWidth="1"/>
    <col min="3848" max="3848" width="23.7265625" style="2" customWidth="1"/>
    <col min="3849" max="4096" width="9.1796875" style="2"/>
    <col min="4097" max="4097" width="15.7265625" style="2" customWidth="1"/>
    <col min="4098" max="4098" width="17.1796875" style="2" customWidth="1"/>
    <col min="4099" max="4099" width="11.81640625" style="2" customWidth="1"/>
    <col min="4100" max="4100" width="11" style="2" customWidth="1"/>
    <col min="4101" max="4101" width="24.7265625" style="2" customWidth="1"/>
    <col min="4102" max="4102" width="10.7265625" style="2" customWidth="1"/>
    <col min="4103" max="4103" width="27.1796875" style="2" customWidth="1"/>
    <col min="4104" max="4104" width="23.7265625" style="2" customWidth="1"/>
    <col min="4105" max="4352" width="9.1796875" style="2"/>
    <col min="4353" max="4353" width="15.7265625" style="2" customWidth="1"/>
    <col min="4354" max="4354" width="17.1796875" style="2" customWidth="1"/>
    <col min="4355" max="4355" width="11.81640625" style="2" customWidth="1"/>
    <col min="4356" max="4356" width="11" style="2" customWidth="1"/>
    <col min="4357" max="4357" width="24.7265625" style="2" customWidth="1"/>
    <col min="4358" max="4358" width="10.7265625" style="2" customWidth="1"/>
    <col min="4359" max="4359" width="27.1796875" style="2" customWidth="1"/>
    <col min="4360" max="4360" width="23.7265625" style="2" customWidth="1"/>
    <col min="4361" max="4608" width="9.1796875" style="2"/>
    <col min="4609" max="4609" width="15.7265625" style="2" customWidth="1"/>
    <col min="4610" max="4610" width="17.1796875" style="2" customWidth="1"/>
    <col min="4611" max="4611" width="11.81640625" style="2" customWidth="1"/>
    <col min="4612" max="4612" width="11" style="2" customWidth="1"/>
    <col min="4613" max="4613" width="24.7265625" style="2" customWidth="1"/>
    <col min="4614" max="4614" width="10.7265625" style="2" customWidth="1"/>
    <col min="4615" max="4615" width="27.1796875" style="2" customWidth="1"/>
    <col min="4616" max="4616" width="23.7265625" style="2" customWidth="1"/>
    <col min="4617" max="4864" width="9.1796875" style="2"/>
    <col min="4865" max="4865" width="15.7265625" style="2" customWidth="1"/>
    <col min="4866" max="4866" width="17.1796875" style="2" customWidth="1"/>
    <col min="4867" max="4867" width="11.81640625" style="2" customWidth="1"/>
    <col min="4868" max="4868" width="11" style="2" customWidth="1"/>
    <col min="4869" max="4869" width="24.7265625" style="2" customWidth="1"/>
    <col min="4870" max="4870" width="10.7265625" style="2" customWidth="1"/>
    <col min="4871" max="4871" width="27.1796875" style="2" customWidth="1"/>
    <col min="4872" max="4872" width="23.7265625" style="2" customWidth="1"/>
    <col min="4873" max="5120" width="9.1796875" style="2"/>
    <col min="5121" max="5121" width="15.7265625" style="2" customWidth="1"/>
    <col min="5122" max="5122" width="17.1796875" style="2" customWidth="1"/>
    <col min="5123" max="5123" width="11.81640625" style="2" customWidth="1"/>
    <col min="5124" max="5124" width="11" style="2" customWidth="1"/>
    <col min="5125" max="5125" width="24.7265625" style="2" customWidth="1"/>
    <col min="5126" max="5126" width="10.7265625" style="2" customWidth="1"/>
    <col min="5127" max="5127" width="27.1796875" style="2" customWidth="1"/>
    <col min="5128" max="5128" width="23.7265625" style="2" customWidth="1"/>
    <col min="5129" max="5376" width="9.1796875" style="2"/>
    <col min="5377" max="5377" width="15.7265625" style="2" customWidth="1"/>
    <col min="5378" max="5378" width="17.1796875" style="2" customWidth="1"/>
    <col min="5379" max="5379" width="11.81640625" style="2" customWidth="1"/>
    <col min="5380" max="5380" width="11" style="2" customWidth="1"/>
    <col min="5381" max="5381" width="24.7265625" style="2" customWidth="1"/>
    <col min="5382" max="5382" width="10.7265625" style="2" customWidth="1"/>
    <col min="5383" max="5383" width="27.1796875" style="2" customWidth="1"/>
    <col min="5384" max="5384" width="23.7265625" style="2" customWidth="1"/>
    <col min="5385" max="5632" width="9.1796875" style="2"/>
    <col min="5633" max="5633" width="15.7265625" style="2" customWidth="1"/>
    <col min="5634" max="5634" width="17.1796875" style="2" customWidth="1"/>
    <col min="5635" max="5635" width="11.81640625" style="2" customWidth="1"/>
    <col min="5636" max="5636" width="11" style="2" customWidth="1"/>
    <col min="5637" max="5637" width="24.7265625" style="2" customWidth="1"/>
    <col min="5638" max="5638" width="10.7265625" style="2" customWidth="1"/>
    <col min="5639" max="5639" width="27.1796875" style="2" customWidth="1"/>
    <col min="5640" max="5640" width="23.7265625" style="2" customWidth="1"/>
    <col min="5641" max="5888" width="9.1796875" style="2"/>
    <col min="5889" max="5889" width="15.7265625" style="2" customWidth="1"/>
    <col min="5890" max="5890" width="17.1796875" style="2" customWidth="1"/>
    <col min="5891" max="5891" width="11.81640625" style="2" customWidth="1"/>
    <col min="5892" max="5892" width="11" style="2" customWidth="1"/>
    <col min="5893" max="5893" width="24.7265625" style="2" customWidth="1"/>
    <col min="5894" max="5894" width="10.7265625" style="2" customWidth="1"/>
    <col min="5895" max="5895" width="27.1796875" style="2" customWidth="1"/>
    <col min="5896" max="5896" width="23.7265625" style="2" customWidth="1"/>
    <col min="5897" max="6144" width="9.1796875" style="2"/>
    <col min="6145" max="6145" width="15.7265625" style="2" customWidth="1"/>
    <col min="6146" max="6146" width="17.1796875" style="2" customWidth="1"/>
    <col min="6147" max="6147" width="11.81640625" style="2" customWidth="1"/>
    <col min="6148" max="6148" width="11" style="2" customWidth="1"/>
    <col min="6149" max="6149" width="24.7265625" style="2" customWidth="1"/>
    <col min="6150" max="6150" width="10.7265625" style="2" customWidth="1"/>
    <col min="6151" max="6151" width="27.1796875" style="2" customWidth="1"/>
    <col min="6152" max="6152" width="23.7265625" style="2" customWidth="1"/>
    <col min="6153" max="6400" width="9.1796875" style="2"/>
    <col min="6401" max="6401" width="15.7265625" style="2" customWidth="1"/>
    <col min="6402" max="6402" width="17.1796875" style="2" customWidth="1"/>
    <col min="6403" max="6403" width="11.81640625" style="2" customWidth="1"/>
    <col min="6404" max="6404" width="11" style="2" customWidth="1"/>
    <col min="6405" max="6405" width="24.7265625" style="2" customWidth="1"/>
    <col min="6406" max="6406" width="10.7265625" style="2" customWidth="1"/>
    <col min="6407" max="6407" width="27.1796875" style="2" customWidth="1"/>
    <col min="6408" max="6408" width="23.7265625" style="2" customWidth="1"/>
    <col min="6409" max="6656" width="9.1796875" style="2"/>
    <col min="6657" max="6657" width="15.7265625" style="2" customWidth="1"/>
    <col min="6658" max="6658" width="17.1796875" style="2" customWidth="1"/>
    <col min="6659" max="6659" width="11.81640625" style="2" customWidth="1"/>
    <col min="6660" max="6660" width="11" style="2" customWidth="1"/>
    <col min="6661" max="6661" width="24.7265625" style="2" customWidth="1"/>
    <col min="6662" max="6662" width="10.7265625" style="2" customWidth="1"/>
    <col min="6663" max="6663" width="27.1796875" style="2" customWidth="1"/>
    <col min="6664" max="6664" width="23.7265625" style="2" customWidth="1"/>
    <col min="6665" max="6912" width="9.1796875" style="2"/>
    <col min="6913" max="6913" width="15.7265625" style="2" customWidth="1"/>
    <col min="6914" max="6914" width="17.1796875" style="2" customWidth="1"/>
    <col min="6915" max="6915" width="11.81640625" style="2" customWidth="1"/>
    <col min="6916" max="6916" width="11" style="2" customWidth="1"/>
    <col min="6917" max="6917" width="24.7265625" style="2" customWidth="1"/>
    <col min="6918" max="6918" width="10.7265625" style="2" customWidth="1"/>
    <col min="6919" max="6919" width="27.1796875" style="2" customWidth="1"/>
    <col min="6920" max="6920" width="23.7265625" style="2" customWidth="1"/>
    <col min="6921" max="7168" width="9.1796875" style="2"/>
    <col min="7169" max="7169" width="15.7265625" style="2" customWidth="1"/>
    <col min="7170" max="7170" width="17.1796875" style="2" customWidth="1"/>
    <col min="7171" max="7171" width="11.81640625" style="2" customWidth="1"/>
    <col min="7172" max="7172" width="11" style="2" customWidth="1"/>
    <col min="7173" max="7173" width="24.7265625" style="2" customWidth="1"/>
    <col min="7174" max="7174" width="10.7265625" style="2" customWidth="1"/>
    <col min="7175" max="7175" width="27.1796875" style="2" customWidth="1"/>
    <col min="7176" max="7176" width="23.7265625" style="2" customWidth="1"/>
    <col min="7177" max="7424" width="9.1796875" style="2"/>
    <col min="7425" max="7425" width="15.7265625" style="2" customWidth="1"/>
    <col min="7426" max="7426" width="17.1796875" style="2" customWidth="1"/>
    <col min="7427" max="7427" width="11.81640625" style="2" customWidth="1"/>
    <col min="7428" max="7428" width="11" style="2" customWidth="1"/>
    <col min="7429" max="7429" width="24.7265625" style="2" customWidth="1"/>
    <col min="7430" max="7430" width="10.7265625" style="2" customWidth="1"/>
    <col min="7431" max="7431" width="27.1796875" style="2" customWidth="1"/>
    <col min="7432" max="7432" width="23.7265625" style="2" customWidth="1"/>
    <col min="7433" max="7680" width="9.1796875" style="2"/>
    <col min="7681" max="7681" width="15.7265625" style="2" customWidth="1"/>
    <col min="7682" max="7682" width="17.1796875" style="2" customWidth="1"/>
    <col min="7683" max="7683" width="11.81640625" style="2" customWidth="1"/>
    <col min="7684" max="7684" width="11" style="2" customWidth="1"/>
    <col min="7685" max="7685" width="24.7265625" style="2" customWidth="1"/>
    <col min="7686" max="7686" width="10.7265625" style="2" customWidth="1"/>
    <col min="7687" max="7687" width="27.1796875" style="2" customWidth="1"/>
    <col min="7688" max="7688" width="23.7265625" style="2" customWidth="1"/>
    <col min="7689" max="7936" width="9.1796875" style="2"/>
    <col min="7937" max="7937" width="15.7265625" style="2" customWidth="1"/>
    <col min="7938" max="7938" width="17.1796875" style="2" customWidth="1"/>
    <col min="7939" max="7939" width="11.81640625" style="2" customWidth="1"/>
    <col min="7940" max="7940" width="11" style="2" customWidth="1"/>
    <col min="7941" max="7941" width="24.7265625" style="2" customWidth="1"/>
    <col min="7942" max="7942" width="10.7265625" style="2" customWidth="1"/>
    <col min="7943" max="7943" width="27.1796875" style="2" customWidth="1"/>
    <col min="7944" max="7944" width="23.7265625" style="2" customWidth="1"/>
    <col min="7945" max="8192" width="9.1796875" style="2"/>
    <col min="8193" max="8193" width="15.7265625" style="2" customWidth="1"/>
    <col min="8194" max="8194" width="17.1796875" style="2" customWidth="1"/>
    <col min="8195" max="8195" width="11.81640625" style="2" customWidth="1"/>
    <col min="8196" max="8196" width="11" style="2" customWidth="1"/>
    <col min="8197" max="8197" width="24.7265625" style="2" customWidth="1"/>
    <col min="8198" max="8198" width="10.7265625" style="2" customWidth="1"/>
    <col min="8199" max="8199" width="27.1796875" style="2" customWidth="1"/>
    <col min="8200" max="8200" width="23.7265625" style="2" customWidth="1"/>
    <col min="8201" max="8448" width="9.1796875" style="2"/>
    <col min="8449" max="8449" width="15.7265625" style="2" customWidth="1"/>
    <col min="8450" max="8450" width="17.1796875" style="2" customWidth="1"/>
    <col min="8451" max="8451" width="11.81640625" style="2" customWidth="1"/>
    <col min="8452" max="8452" width="11" style="2" customWidth="1"/>
    <col min="8453" max="8453" width="24.7265625" style="2" customWidth="1"/>
    <col min="8454" max="8454" width="10.7265625" style="2" customWidth="1"/>
    <col min="8455" max="8455" width="27.1796875" style="2" customWidth="1"/>
    <col min="8456" max="8456" width="23.7265625" style="2" customWidth="1"/>
    <col min="8457" max="8704" width="9.1796875" style="2"/>
    <col min="8705" max="8705" width="15.7265625" style="2" customWidth="1"/>
    <col min="8706" max="8706" width="17.1796875" style="2" customWidth="1"/>
    <col min="8707" max="8707" width="11.81640625" style="2" customWidth="1"/>
    <col min="8708" max="8708" width="11" style="2" customWidth="1"/>
    <col min="8709" max="8709" width="24.7265625" style="2" customWidth="1"/>
    <col min="8710" max="8710" width="10.7265625" style="2" customWidth="1"/>
    <col min="8711" max="8711" width="27.1796875" style="2" customWidth="1"/>
    <col min="8712" max="8712" width="23.7265625" style="2" customWidth="1"/>
    <col min="8713" max="8960" width="9.1796875" style="2"/>
    <col min="8961" max="8961" width="15.7265625" style="2" customWidth="1"/>
    <col min="8962" max="8962" width="17.1796875" style="2" customWidth="1"/>
    <col min="8963" max="8963" width="11.81640625" style="2" customWidth="1"/>
    <col min="8964" max="8964" width="11" style="2" customWidth="1"/>
    <col min="8965" max="8965" width="24.7265625" style="2" customWidth="1"/>
    <col min="8966" max="8966" width="10.7265625" style="2" customWidth="1"/>
    <col min="8967" max="8967" width="27.1796875" style="2" customWidth="1"/>
    <col min="8968" max="8968" width="23.7265625" style="2" customWidth="1"/>
    <col min="8969" max="9216" width="9.1796875" style="2"/>
    <col min="9217" max="9217" width="15.7265625" style="2" customWidth="1"/>
    <col min="9218" max="9218" width="17.1796875" style="2" customWidth="1"/>
    <col min="9219" max="9219" width="11.81640625" style="2" customWidth="1"/>
    <col min="9220" max="9220" width="11" style="2" customWidth="1"/>
    <col min="9221" max="9221" width="24.7265625" style="2" customWidth="1"/>
    <col min="9222" max="9222" width="10.7265625" style="2" customWidth="1"/>
    <col min="9223" max="9223" width="27.1796875" style="2" customWidth="1"/>
    <col min="9224" max="9224" width="23.7265625" style="2" customWidth="1"/>
    <col min="9225" max="9472" width="9.1796875" style="2"/>
    <col min="9473" max="9473" width="15.7265625" style="2" customWidth="1"/>
    <col min="9474" max="9474" width="17.1796875" style="2" customWidth="1"/>
    <col min="9475" max="9475" width="11.81640625" style="2" customWidth="1"/>
    <col min="9476" max="9476" width="11" style="2" customWidth="1"/>
    <col min="9477" max="9477" width="24.7265625" style="2" customWidth="1"/>
    <col min="9478" max="9478" width="10.7265625" style="2" customWidth="1"/>
    <col min="9479" max="9479" width="27.1796875" style="2" customWidth="1"/>
    <col min="9480" max="9480" width="23.7265625" style="2" customWidth="1"/>
    <col min="9481" max="9728" width="9.1796875" style="2"/>
    <col min="9729" max="9729" width="15.7265625" style="2" customWidth="1"/>
    <col min="9730" max="9730" width="17.1796875" style="2" customWidth="1"/>
    <col min="9731" max="9731" width="11.81640625" style="2" customWidth="1"/>
    <col min="9732" max="9732" width="11" style="2" customWidth="1"/>
    <col min="9733" max="9733" width="24.7265625" style="2" customWidth="1"/>
    <col min="9734" max="9734" width="10.7265625" style="2" customWidth="1"/>
    <col min="9735" max="9735" width="27.1796875" style="2" customWidth="1"/>
    <col min="9736" max="9736" width="23.7265625" style="2" customWidth="1"/>
    <col min="9737" max="9984" width="9.1796875" style="2"/>
    <col min="9985" max="9985" width="15.7265625" style="2" customWidth="1"/>
    <col min="9986" max="9986" width="17.1796875" style="2" customWidth="1"/>
    <col min="9987" max="9987" width="11.81640625" style="2" customWidth="1"/>
    <col min="9988" max="9988" width="11" style="2" customWidth="1"/>
    <col min="9989" max="9989" width="24.7265625" style="2" customWidth="1"/>
    <col min="9990" max="9990" width="10.7265625" style="2" customWidth="1"/>
    <col min="9991" max="9991" width="27.1796875" style="2" customWidth="1"/>
    <col min="9992" max="9992" width="23.7265625" style="2" customWidth="1"/>
    <col min="9993" max="10240" width="9.1796875" style="2"/>
    <col min="10241" max="10241" width="15.7265625" style="2" customWidth="1"/>
    <col min="10242" max="10242" width="17.1796875" style="2" customWidth="1"/>
    <col min="10243" max="10243" width="11.81640625" style="2" customWidth="1"/>
    <col min="10244" max="10244" width="11" style="2" customWidth="1"/>
    <col min="10245" max="10245" width="24.7265625" style="2" customWidth="1"/>
    <col min="10246" max="10246" width="10.7265625" style="2" customWidth="1"/>
    <col min="10247" max="10247" width="27.1796875" style="2" customWidth="1"/>
    <col min="10248" max="10248" width="23.7265625" style="2" customWidth="1"/>
    <col min="10249" max="10496" width="9.1796875" style="2"/>
    <col min="10497" max="10497" width="15.7265625" style="2" customWidth="1"/>
    <col min="10498" max="10498" width="17.1796875" style="2" customWidth="1"/>
    <col min="10499" max="10499" width="11.81640625" style="2" customWidth="1"/>
    <col min="10500" max="10500" width="11" style="2" customWidth="1"/>
    <col min="10501" max="10501" width="24.7265625" style="2" customWidth="1"/>
    <col min="10502" max="10502" width="10.7265625" style="2" customWidth="1"/>
    <col min="10503" max="10503" width="27.1796875" style="2" customWidth="1"/>
    <col min="10504" max="10504" width="23.7265625" style="2" customWidth="1"/>
    <col min="10505" max="10752" width="9.1796875" style="2"/>
    <col min="10753" max="10753" width="15.7265625" style="2" customWidth="1"/>
    <col min="10754" max="10754" width="17.1796875" style="2" customWidth="1"/>
    <col min="10755" max="10755" width="11.81640625" style="2" customWidth="1"/>
    <col min="10756" max="10756" width="11" style="2" customWidth="1"/>
    <col min="10757" max="10757" width="24.7265625" style="2" customWidth="1"/>
    <col min="10758" max="10758" width="10.7265625" style="2" customWidth="1"/>
    <col min="10759" max="10759" width="27.1796875" style="2" customWidth="1"/>
    <col min="10760" max="10760" width="23.7265625" style="2" customWidth="1"/>
    <col min="10761" max="11008" width="9.1796875" style="2"/>
    <col min="11009" max="11009" width="15.7265625" style="2" customWidth="1"/>
    <col min="11010" max="11010" width="17.1796875" style="2" customWidth="1"/>
    <col min="11011" max="11011" width="11.81640625" style="2" customWidth="1"/>
    <col min="11012" max="11012" width="11" style="2" customWidth="1"/>
    <col min="11013" max="11013" width="24.7265625" style="2" customWidth="1"/>
    <col min="11014" max="11014" width="10.7265625" style="2" customWidth="1"/>
    <col min="11015" max="11015" width="27.1796875" style="2" customWidth="1"/>
    <col min="11016" max="11016" width="23.7265625" style="2" customWidth="1"/>
    <col min="11017" max="11264" width="9.1796875" style="2"/>
    <col min="11265" max="11265" width="15.7265625" style="2" customWidth="1"/>
    <col min="11266" max="11266" width="17.1796875" style="2" customWidth="1"/>
    <col min="11267" max="11267" width="11.81640625" style="2" customWidth="1"/>
    <col min="11268" max="11268" width="11" style="2" customWidth="1"/>
    <col min="11269" max="11269" width="24.7265625" style="2" customWidth="1"/>
    <col min="11270" max="11270" width="10.7265625" style="2" customWidth="1"/>
    <col min="11271" max="11271" width="27.1796875" style="2" customWidth="1"/>
    <col min="11272" max="11272" width="23.7265625" style="2" customWidth="1"/>
    <col min="11273" max="11520" width="9.1796875" style="2"/>
    <col min="11521" max="11521" width="15.7265625" style="2" customWidth="1"/>
    <col min="11522" max="11522" width="17.1796875" style="2" customWidth="1"/>
    <col min="11523" max="11523" width="11.81640625" style="2" customWidth="1"/>
    <col min="11524" max="11524" width="11" style="2" customWidth="1"/>
    <col min="11525" max="11525" width="24.7265625" style="2" customWidth="1"/>
    <col min="11526" max="11526" width="10.7265625" style="2" customWidth="1"/>
    <col min="11527" max="11527" width="27.1796875" style="2" customWidth="1"/>
    <col min="11528" max="11528" width="23.7265625" style="2" customWidth="1"/>
    <col min="11529" max="11776" width="9.1796875" style="2"/>
    <col min="11777" max="11777" width="15.7265625" style="2" customWidth="1"/>
    <col min="11778" max="11778" width="17.1796875" style="2" customWidth="1"/>
    <col min="11779" max="11779" width="11.81640625" style="2" customWidth="1"/>
    <col min="11780" max="11780" width="11" style="2" customWidth="1"/>
    <col min="11781" max="11781" width="24.7265625" style="2" customWidth="1"/>
    <col min="11782" max="11782" width="10.7265625" style="2" customWidth="1"/>
    <col min="11783" max="11783" width="27.1796875" style="2" customWidth="1"/>
    <col min="11784" max="11784" width="23.7265625" style="2" customWidth="1"/>
    <col min="11785" max="12032" width="9.1796875" style="2"/>
    <col min="12033" max="12033" width="15.7265625" style="2" customWidth="1"/>
    <col min="12034" max="12034" width="17.1796875" style="2" customWidth="1"/>
    <col min="12035" max="12035" width="11.81640625" style="2" customWidth="1"/>
    <col min="12036" max="12036" width="11" style="2" customWidth="1"/>
    <col min="12037" max="12037" width="24.7265625" style="2" customWidth="1"/>
    <col min="12038" max="12038" width="10.7265625" style="2" customWidth="1"/>
    <col min="12039" max="12039" width="27.1796875" style="2" customWidth="1"/>
    <col min="12040" max="12040" width="23.7265625" style="2" customWidth="1"/>
    <col min="12041" max="12288" width="9.1796875" style="2"/>
    <col min="12289" max="12289" width="15.7265625" style="2" customWidth="1"/>
    <col min="12290" max="12290" width="17.1796875" style="2" customWidth="1"/>
    <col min="12291" max="12291" width="11.81640625" style="2" customWidth="1"/>
    <col min="12292" max="12292" width="11" style="2" customWidth="1"/>
    <col min="12293" max="12293" width="24.7265625" style="2" customWidth="1"/>
    <col min="12294" max="12294" width="10.7265625" style="2" customWidth="1"/>
    <col min="12295" max="12295" width="27.1796875" style="2" customWidth="1"/>
    <col min="12296" max="12296" width="23.7265625" style="2" customWidth="1"/>
    <col min="12297" max="12544" width="9.1796875" style="2"/>
    <col min="12545" max="12545" width="15.7265625" style="2" customWidth="1"/>
    <col min="12546" max="12546" width="17.1796875" style="2" customWidth="1"/>
    <col min="12547" max="12547" width="11.81640625" style="2" customWidth="1"/>
    <col min="12548" max="12548" width="11" style="2" customWidth="1"/>
    <col min="12549" max="12549" width="24.7265625" style="2" customWidth="1"/>
    <col min="12550" max="12550" width="10.7265625" style="2" customWidth="1"/>
    <col min="12551" max="12551" width="27.1796875" style="2" customWidth="1"/>
    <col min="12552" max="12552" width="23.7265625" style="2" customWidth="1"/>
    <col min="12553" max="12800" width="9.1796875" style="2"/>
    <col min="12801" max="12801" width="15.7265625" style="2" customWidth="1"/>
    <col min="12802" max="12802" width="17.1796875" style="2" customWidth="1"/>
    <col min="12803" max="12803" width="11.81640625" style="2" customWidth="1"/>
    <col min="12804" max="12804" width="11" style="2" customWidth="1"/>
    <col min="12805" max="12805" width="24.7265625" style="2" customWidth="1"/>
    <col min="12806" max="12806" width="10.7265625" style="2" customWidth="1"/>
    <col min="12807" max="12807" width="27.1796875" style="2" customWidth="1"/>
    <col min="12808" max="12808" width="23.7265625" style="2" customWidth="1"/>
    <col min="12809" max="13056" width="9.1796875" style="2"/>
    <col min="13057" max="13057" width="15.7265625" style="2" customWidth="1"/>
    <col min="13058" max="13058" width="17.1796875" style="2" customWidth="1"/>
    <col min="13059" max="13059" width="11.81640625" style="2" customWidth="1"/>
    <col min="13060" max="13060" width="11" style="2" customWidth="1"/>
    <col min="13061" max="13061" width="24.7265625" style="2" customWidth="1"/>
    <col min="13062" max="13062" width="10.7265625" style="2" customWidth="1"/>
    <col min="13063" max="13063" width="27.1796875" style="2" customWidth="1"/>
    <col min="13064" max="13064" width="23.7265625" style="2" customWidth="1"/>
    <col min="13065" max="13312" width="9.1796875" style="2"/>
    <col min="13313" max="13313" width="15.7265625" style="2" customWidth="1"/>
    <col min="13314" max="13314" width="17.1796875" style="2" customWidth="1"/>
    <col min="13315" max="13315" width="11.81640625" style="2" customWidth="1"/>
    <col min="13316" max="13316" width="11" style="2" customWidth="1"/>
    <col min="13317" max="13317" width="24.7265625" style="2" customWidth="1"/>
    <col min="13318" max="13318" width="10.7265625" style="2" customWidth="1"/>
    <col min="13319" max="13319" width="27.1796875" style="2" customWidth="1"/>
    <col min="13320" max="13320" width="23.7265625" style="2" customWidth="1"/>
    <col min="13321" max="13568" width="9.1796875" style="2"/>
    <col min="13569" max="13569" width="15.7265625" style="2" customWidth="1"/>
    <col min="13570" max="13570" width="17.1796875" style="2" customWidth="1"/>
    <col min="13571" max="13571" width="11.81640625" style="2" customWidth="1"/>
    <col min="13572" max="13572" width="11" style="2" customWidth="1"/>
    <col min="13573" max="13573" width="24.7265625" style="2" customWidth="1"/>
    <col min="13574" max="13574" width="10.7265625" style="2" customWidth="1"/>
    <col min="13575" max="13575" width="27.1796875" style="2" customWidth="1"/>
    <col min="13576" max="13576" width="23.7265625" style="2" customWidth="1"/>
    <col min="13577" max="13824" width="9.1796875" style="2"/>
    <col min="13825" max="13825" width="15.7265625" style="2" customWidth="1"/>
    <col min="13826" max="13826" width="17.1796875" style="2" customWidth="1"/>
    <col min="13827" max="13827" width="11.81640625" style="2" customWidth="1"/>
    <col min="13828" max="13828" width="11" style="2" customWidth="1"/>
    <col min="13829" max="13829" width="24.7265625" style="2" customWidth="1"/>
    <col min="13830" max="13830" width="10.7265625" style="2" customWidth="1"/>
    <col min="13831" max="13831" width="27.1796875" style="2" customWidth="1"/>
    <col min="13832" max="13832" width="23.7265625" style="2" customWidth="1"/>
    <col min="13833" max="14080" width="9.1796875" style="2"/>
    <col min="14081" max="14081" width="15.7265625" style="2" customWidth="1"/>
    <col min="14082" max="14082" width="17.1796875" style="2" customWidth="1"/>
    <col min="14083" max="14083" width="11.81640625" style="2" customWidth="1"/>
    <col min="14084" max="14084" width="11" style="2" customWidth="1"/>
    <col min="14085" max="14085" width="24.7265625" style="2" customWidth="1"/>
    <col min="14086" max="14086" width="10.7265625" style="2" customWidth="1"/>
    <col min="14087" max="14087" width="27.1796875" style="2" customWidth="1"/>
    <col min="14088" max="14088" width="23.7265625" style="2" customWidth="1"/>
    <col min="14089" max="14336" width="9.1796875" style="2"/>
    <col min="14337" max="14337" width="15.7265625" style="2" customWidth="1"/>
    <col min="14338" max="14338" width="17.1796875" style="2" customWidth="1"/>
    <col min="14339" max="14339" width="11.81640625" style="2" customWidth="1"/>
    <col min="14340" max="14340" width="11" style="2" customWidth="1"/>
    <col min="14341" max="14341" width="24.7265625" style="2" customWidth="1"/>
    <col min="14342" max="14342" width="10.7265625" style="2" customWidth="1"/>
    <col min="14343" max="14343" width="27.1796875" style="2" customWidth="1"/>
    <col min="14344" max="14344" width="23.7265625" style="2" customWidth="1"/>
    <col min="14345" max="14592" width="9.1796875" style="2"/>
    <col min="14593" max="14593" width="15.7265625" style="2" customWidth="1"/>
    <col min="14594" max="14594" width="17.1796875" style="2" customWidth="1"/>
    <col min="14595" max="14595" width="11.81640625" style="2" customWidth="1"/>
    <col min="14596" max="14596" width="11" style="2" customWidth="1"/>
    <col min="14597" max="14597" width="24.7265625" style="2" customWidth="1"/>
    <col min="14598" max="14598" width="10.7265625" style="2" customWidth="1"/>
    <col min="14599" max="14599" width="27.1796875" style="2" customWidth="1"/>
    <col min="14600" max="14600" width="23.7265625" style="2" customWidth="1"/>
    <col min="14601" max="14848" width="9.1796875" style="2"/>
    <col min="14849" max="14849" width="15.7265625" style="2" customWidth="1"/>
    <col min="14850" max="14850" width="17.1796875" style="2" customWidth="1"/>
    <col min="14851" max="14851" width="11.81640625" style="2" customWidth="1"/>
    <col min="14852" max="14852" width="11" style="2" customWidth="1"/>
    <col min="14853" max="14853" width="24.7265625" style="2" customWidth="1"/>
    <col min="14854" max="14854" width="10.7265625" style="2" customWidth="1"/>
    <col min="14855" max="14855" width="27.1796875" style="2" customWidth="1"/>
    <col min="14856" max="14856" width="23.7265625" style="2" customWidth="1"/>
    <col min="14857" max="15104" width="9.1796875" style="2"/>
    <col min="15105" max="15105" width="15.7265625" style="2" customWidth="1"/>
    <col min="15106" max="15106" width="17.1796875" style="2" customWidth="1"/>
    <col min="15107" max="15107" width="11.81640625" style="2" customWidth="1"/>
    <col min="15108" max="15108" width="11" style="2" customWidth="1"/>
    <col min="15109" max="15109" width="24.7265625" style="2" customWidth="1"/>
    <col min="15110" max="15110" width="10.7265625" style="2" customWidth="1"/>
    <col min="15111" max="15111" width="27.1796875" style="2" customWidth="1"/>
    <col min="15112" max="15112" width="23.7265625" style="2" customWidth="1"/>
    <col min="15113" max="15360" width="9.1796875" style="2"/>
    <col min="15361" max="15361" width="15.7265625" style="2" customWidth="1"/>
    <col min="15362" max="15362" width="17.1796875" style="2" customWidth="1"/>
    <col min="15363" max="15363" width="11.81640625" style="2" customWidth="1"/>
    <col min="15364" max="15364" width="11" style="2" customWidth="1"/>
    <col min="15365" max="15365" width="24.7265625" style="2" customWidth="1"/>
    <col min="15366" max="15366" width="10.7265625" style="2" customWidth="1"/>
    <col min="15367" max="15367" width="27.1796875" style="2" customWidth="1"/>
    <col min="15368" max="15368" width="23.7265625" style="2" customWidth="1"/>
    <col min="15369" max="15616" width="9.1796875" style="2"/>
    <col min="15617" max="15617" width="15.7265625" style="2" customWidth="1"/>
    <col min="15618" max="15618" width="17.1796875" style="2" customWidth="1"/>
    <col min="15619" max="15619" width="11.81640625" style="2" customWidth="1"/>
    <col min="15620" max="15620" width="11" style="2" customWidth="1"/>
    <col min="15621" max="15621" width="24.7265625" style="2" customWidth="1"/>
    <col min="15622" max="15622" width="10.7265625" style="2" customWidth="1"/>
    <col min="15623" max="15623" width="27.1796875" style="2" customWidth="1"/>
    <col min="15624" max="15624" width="23.7265625" style="2" customWidth="1"/>
    <col min="15625" max="15872" width="9.1796875" style="2"/>
    <col min="15873" max="15873" width="15.7265625" style="2" customWidth="1"/>
    <col min="15874" max="15874" width="17.1796875" style="2" customWidth="1"/>
    <col min="15875" max="15875" width="11.81640625" style="2" customWidth="1"/>
    <col min="15876" max="15876" width="11" style="2" customWidth="1"/>
    <col min="15877" max="15877" width="24.7265625" style="2" customWidth="1"/>
    <col min="15878" max="15878" width="10.7265625" style="2" customWidth="1"/>
    <col min="15879" max="15879" width="27.1796875" style="2" customWidth="1"/>
    <col min="15880" max="15880" width="23.7265625" style="2" customWidth="1"/>
    <col min="15881" max="16128" width="9.1796875" style="2"/>
    <col min="16129" max="16129" width="15.7265625" style="2" customWidth="1"/>
    <col min="16130" max="16130" width="17.1796875" style="2" customWidth="1"/>
    <col min="16131" max="16131" width="11.81640625" style="2" customWidth="1"/>
    <col min="16132" max="16132" width="11" style="2" customWidth="1"/>
    <col min="16133" max="16133" width="24.7265625" style="2" customWidth="1"/>
    <col min="16134" max="16134" width="10.7265625" style="2" customWidth="1"/>
    <col min="16135" max="16135" width="27.1796875" style="2" customWidth="1"/>
    <col min="16136" max="16136" width="23.7265625" style="2" customWidth="1"/>
    <col min="16137" max="16384" width="9.1796875" style="2"/>
  </cols>
  <sheetData>
    <row r="1" spans="1:16" ht="164.2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7" spans="1:16" ht="13" customHeight="1">
      <c r="A7" s="35" t="s">
        <v>107</v>
      </c>
      <c r="B7" s="36"/>
      <c r="C7" s="36"/>
      <c r="D7" s="36"/>
      <c r="E7" s="36"/>
      <c r="F7" s="36"/>
    </row>
    <row r="9" spans="1:16" ht="13" customHeight="1">
      <c r="A9" s="2" t="s">
        <v>108</v>
      </c>
      <c r="B9" s="5">
        <v>1E-3</v>
      </c>
      <c r="C9" s="6" t="s">
        <v>10</v>
      </c>
      <c r="D9" s="2" t="s">
        <v>261</v>
      </c>
      <c r="E9" s="9">
        <f>Irip/2</f>
        <v>0.3515625</v>
      </c>
      <c r="F9" s="6" t="s">
        <v>10</v>
      </c>
      <c r="G9" s="29"/>
      <c r="H9" s="29"/>
      <c r="I9" s="29"/>
    </row>
    <row r="10" spans="1:16" ht="13" customHeight="1">
      <c r="A10" s="2" t="s">
        <v>109</v>
      </c>
      <c r="B10" s="5">
        <f>+Iout</f>
        <v>1</v>
      </c>
      <c r="C10" s="6" t="s">
        <v>10</v>
      </c>
      <c r="D10" s="29"/>
      <c r="E10" s="29"/>
      <c r="F10" s="29"/>
      <c r="G10" s="29"/>
      <c r="H10" s="29"/>
      <c r="I10" s="10" t="str">
        <f>IF(B10&gt;6,"Over Limit of IC!"," ")</f>
        <v xml:space="preserve"> </v>
      </c>
    </row>
    <row r="11" spans="1:16" s="37" customFormat="1" ht="16.5" customHeight="1">
      <c r="A11" s="153"/>
      <c r="B11" s="153"/>
      <c r="C11" s="153"/>
      <c r="D11" s="153"/>
      <c r="E11" s="153"/>
      <c r="F11" s="153"/>
      <c r="G11" s="153"/>
      <c r="H11" s="153"/>
    </row>
    <row r="12" spans="1:16" s="37" customFormat="1" ht="13" customHeight="1">
      <c r="A12" s="153" t="s">
        <v>9</v>
      </c>
      <c r="B12" s="153" t="s">
        <v>110</v>
      </c>
      <c r="C12" s="153" t="s">
        <v>41</v>
      </c>
      <c r="D12" s="153" t="s">
        <v>111</v>
      </c>
      <c r="E12" s="153" t="s">
        <v>112</v>
      </c>
      <c r="F12" s="153" t="s">
        <v>113</v>
      </c>
      <c r="G12" s="153" t="s">
        <v>114</v>
      </c>
      <c r="H12" s="153" t="s">
        <v>115</v>
      </c>
      <c r="I12" s="92"/>
      <c r="J12" s="38"/>
      <c r="K12" s="38"/>
    </row>
    <row r="13" spans="1:16" s="37" customFormat="1" ht="13" customHeight="1">
      <c r="A13" s="154">
        <f>Imin</f>
        <v>1E-3</v>
      </c>
      <c r="B13" s="155">
        <f t="shared" ref="B13:B24" si="0">SUM(D13:H13)</f>
        <v>8.345614052668851E-2</v>
      </c>
      <c r="C13" s="156">
        <f>(Vout*A13)/((Vout*A13)+B13)*100</f>
        <v>5.6525188304947882</v>
      </c>
      <c r="D13" s="157">
        <f>F44^2*Ron_u/'Power Loss'!$B$54/1000+Vin*(A13-0.5*E44)*'Power Loss'!$B$52*10^(-9)*B44*10^(3)/2+Vin*(A13+0.5*E44)*'Power Loss'!$B$53*10^(-9)*Fs*10^(3)/2+Vin*B44*10^3*'Power Loss'!$B$48*10^(-9)*'Power Loss'!$B$54+0.5*'Power Loss'!$B$51*10^(-9)*Vin^2*B44*10^3*'Power Loss'!$B$54</f>
        <v>3.1407660300500434E-2</v>
      </c>
      <c r="E13" s="157">
        <f>G44^2*'Power Loss'!$B$63/1000/'Power Loss'!$B$71+'Power Loss'!$B$64*B44*10^(-6)*((A13+0.5*E44)*'Power Loss'!$B$69+(A13-0.5*E44)*'Power Loss'!$B$70)+0.5*'Power Loss'!$B$65*Vin* B44*10^(-6)*'Power Loss'!$B$71+'Power Loss'!$B$68*10^(-9)*'Power Loss'!$B$71*Vin^2*B44*1000/2</f>
        <v>2.0221951258075566E-2</v>
      </c>
      <c r="F13" s="157">
        <f>B44*'Power Loss'!$B$79*'Power Loss'!$B$49*10^(-6)*'Power Loss'!$B$54+B44*'Power Loss'!$B$80*'Power Loss'!$B$66*10^(-6)*'Power Loss'!$B$71+'Power Loss'!$B$80*'Power Loss'!$B$81*0.001</f>
        <v>3.0333966633022621E-2</v>
      </c>
      <c r="G13" s="157">
        <f>0.7*10^(-9)*(B44)^1.35*(57.8*0.5*E44)^2.263+DCR/1000*(A13*SQRT(1+1/3*(E44/A13)^2))^2</f>
        <v>1.4631332125188998E-3</v>
      </c>
      <c r="H13" s="157">
        <f>(0.5*E44/SQRT(3))^2*'Power Loss'!$B$33/'Power Loss'!$B$31/1000</f>
        <v>2.9429122570993315E-5</v>
      </c>
      <c r="I13" s="92"/>
      <c r="J13" s="38"/>
      <c r="K13" s="38"/>
    </row>
    <row r="14" spans="1:16" s="37" customFormat="1" ht="13" customHeight="1">
      <c r="A14" s="154">
        <f>Imin+(Imax-Imin)*0.001</f>
        <v>1.9989999999999999E-3</v>
      </c>
      <c r="B14" s="155">
        <f t="shared" si="0"/>
        <v>8.3629821412539093E-2</v>
      </c>
      <c r="C14" s="156">
        <f t="shared" ref="C14:C24" si="1">Vout*A14/(Vout*A14+B14)*100</f>
        <v>10.675587786660792</v>
      </c>
      <c r="D14" s="157">
        <f>F45^2*Ron_u/'Power Loss'!$B$54/1000+Vin*(A14-0.5*E45)*'Power Loss'!$B$52*10^(-9)*B45*10^(3)/2+Vin*(A14+0.5*E45)*'Power Loss'!$B$53*10^(-9)*Fs*10^(3)/2+Vin*B45*10^3*'Power Loss'!$B$48*10^(-9)*'Power Loss'!$B$54+0.5*'Power Loss'!$B$51*10^(-9)*Vin^2*B45*10^3*'Power Loss'!$B$54</f>
        <v>3.1537316124911632E-2</v>
      </c>
      <c r="E14" s="157">
        <f>G45^2*'Power Loss'!$B$63/1000/'Power Loss'!$B$71+'Power Loss'!$B$64*B45*10^(-6)*((A14+0.5*E45)*'Power Loss'!$B$69+(A14-0.5*E45)*'Power Loss'!$B$70)+0.5*'Power Loss'!$B$65*Vin* B45*10^(-6)*'Power Loss'!$B$71+'Power Loss'!$B$68*10^(-9)*'Power Loss'!$B$71*Vin^2*B45*1000/2</f>
        <v>2.026360688515047E-2</v>
      </c>
      <c r="F14" s="157">
        <f>B45*'Power Loss'!$B$79*'Power Loss'!$B$49*10^(-6)*'Power Loss'!$B$54+B45*'Power Loss'!$B$80*'Power Loss'!$B$66*10^(-6)*'Power Loss'!$B$71+'Power Loss'!$B$80*'Power Loss'!$B$81*0.001</f>
        <v>3.0334601706783974E-2</v>
      </c>
      <c r="G14" s="157">
        <f t="shared" ref="G14:G41" si="2">0.7*10^(-9)*(B45)^1.35*(57.8*0.5*E45)^2.263+DCR/1000*(A14*SQRT(1+1/3*(E45/A14)^2))^2</f>
        <v>1.4648661165852091E-3</v>
      </c>
      <c r="H14" s="157">
        <f>(0.5*E45/SQRT(3))^2*'Power Loss'!$B$33/'Power Loss'!$B$31/1000</f>
        <v>2.9430579107820008E-5</v>
      </c>
      <c r="I14" s="92"/>
      <c r="J14" s="38"/>
      <c r="K14" s="38"/>
    </row>
    <row r="15" spans="1:16" s="37" customFormat="1" ht="13" customHeight="1">
      <c r="A15" s="154">
        <f>Imin+(Imax-Imin)*0.002</f>
        <v>2.9980000000000002E-3</v>
      </c>
      <c r="B15" s="155">
        <f t="shared" si="0"/>
        <v>8.3804041310129751E-2</v>
      </c>
      <c r="C15" s="156">
        <f t="shared" si="1"/>
        <v>15.172979869245429</v>
      </c>
      <c r="D15" s="157">
        <f>F46^2*Ron_u/'Power Loss'!$B$54/1000+Vin*(A15-0.5*E46)*'Power Loss'!$B$52*10^(-9)*B46*10^(3)/2+Vin*(A15+0.5*E46)*'Power Loss'!$B$53*10^(-9)*Fs*10^(3)/2+Vin*B46*10^3*'Power Loss'!$B$48*10^(-9)*'Power Loss'!$B$54+0.5*'Power Loss'!$B$51*10^(-9)*Vin^2*B46*10^3*'Power Loss'!$B$54</f>
        <v>3.1667157642002348E-2</v>
      </c>
      <c r="E15" s="157">
        <f>G46^2*'Power Loss'!$B$63/1000/'Power Loss'!$B$71+'Power Loss'!$B$64*B46*10^(-6)*((A15+0.5*E46)*'Power Loss'!$B$69+(A15-0.5*E46)*'Power Loss'!$B$70)+0.5*'Power Loss'!$B$65*Vin* B46*10^(-6)*'Power Loss'!$B$71+'Power Loss'!$B$68*10^(-9)*'Power Loss'!$B$71*Vin^2*B46*1000/2</f>
        <v>2.0305595893246958E-2</v>
      </c>
      <c r="F15" s="157">
        <f>B46*'Power Loss'!$B$79*'Power Loss'!$B$49*10^(-6)*'Power Loss'!$B$54+B46*'Power Loss'!$B$80*'Power Loss'!$B$66*10^(-6)*'Power Loss'!$B$71+'Power Loss'!$B$80*'Power Loss'!$B$81*0.001</f>
        <v>3.03352392004703E-2</v>
      </c>
      <c r="G15" s="157">
        <f t="shared" si="2"/>
        <v>1.4666165387212E-3</v>
      </c>
      <c r="H15" s="157">
        <f>(0.5*E46/SQRT(3))^2*'Power Loss'!$B$33/'Power Loss'!$B$31/1000</f>
        <v>2.9432035688944725E-5</v>
      </c>
      <c r="I15" s="92"/>
      <c r="J15" s="38"/>
      <c r="K15" s="38"/>
    </row>
    <row r="16" spans="1:16" s="37" customFormat="1" ht="13" customHeight="1">
      <c r="A16" s="154">
        <f>Imin+(Imax-Imin)*0.004</f>
        <v>4.9960000000000004E-3</v>
      </c>
      <c r="B16" s="155">
        <f t="shared" si="0"/>
        <v>8.4154104865748189E-2</v>
      </c>
      <c r="C16" s="156">
        <f t="shared" si="1"/>
        <v>22.889270068902164</v>
      </c>
      <c r="D16" s="157">
        <f>F47^2*Ron_u/'Power Loss'!$B$54/1000+Vin*(A16-0.5*E47)*'Power Loss'!$B$52*10^(-9)*B47*10^(3)/2+Vin*(A16+0.5*E47)*'Power Loss'!$B$53*10^(-9)*Fs*10^(3)/2+Vin*B47*10^3*'Power Loss'!$B$48*10^(-9)*'Power Loss'!$B$54+0.5*'Power Loss'!$B$51*10^(-9)*Vin^2*B47*10^3*'Power Loss'!$B$54</f>
        <v>3.1927400634699558E-2</v>
      </c>
      <c r="E16" s="157">
        <f>G47^2*'Power Loss'!$B$63/1000/'Power Loss'!$B$71+'Power Loss'!$B$64*B47*10^(-6)*((A16+0.5*E47)*'Power Loss'!$B$69+(A16-0.5*E47)*'Power Loss'!$B$70)+0.5*'Power Loss'!$B$65*Vin* B47*10^(-6)*'Power Loss'!$B$71+'Power Loss'!$B$68*10^(-9)*'Power Loss'!$B$71*Vin^2*B47*1000/2</f>
        <v>2.0390577648203061E-2</v>
      </c>
      <c r="F16" s="157">
        <f>B47*'Power Loss'!$B$79*'Power Loss'!$B$49*10^(-6)*'Power Loss'!$B$54+B47*'Power Loss'!$B$80*'Power Loss'!$B$66*10^(-6)*'Power Loss'!$B$71+'Power Loss'!$B$80*'Power Loss'!$B$81*0.001</f>
        <v>3.0336521503155703E-2</v>
      </c>
      <c r="G16" s="157">
        <f t="shared" si="2"/>
        <v>1.4701701307057724E-3</v>
      </c>
      <c r="H16" s="157">
        <f>(0.5*E47/SQRT(3))^2*'Power Loss'!$B$33/'Power Loss'!$B$31/1000</f>
        <v>2.9434948984091097E-5</v>
      </c>
      <c r="I16" s="92"/>
      <c r="J16" s="38"/>
      <c r="K16" s="38"/>
    </row>
    <row r="17" spans="1:11" s="37" customFormat="1" ht="13" customHeight="1">
      <c r="A17" s="154">
        <f>Imin+(Imax-Imin)*0.006</f>
        <v>6.9940000000000002E-3</v>
      </c>
      <c r="B17" s="155">
        <f t="shared" si="0"/>
        <v>8.4506344773261938E-2</v>
      </c>
      <c r="C17" s="156">
        <f t="shared" si="1"/>
        <v>29.269392251968245</v>
      </c>
      <c r="D17" s="157">
        <f>F48^2*Ron_u/'Power Loss'!$B$54/1000+Vin*(A17-0.5*E48)*'Power Loss'!$B$52*10^(-9)*B48*10^(3)/2+Vin*(A17+0.5*E48)*'Power Loss'!$B$53*10^(-9)*Fs*10^(3)/2+Vin*B48*10^3*'Power Loss'!$B$48*10^(-9)*'Power Loss'!$B$54+0.5*'Power Loss'!$B$51*10^(-9)*Vin^2*B48*10^3*'Power Loss'!$B$54</f>
        <v>3.2188395094500888E-2</v>
      </c>
      <c r="E17" s="157">
        <f>G48^2*'Power Loss'!$B$63/1000/'Power Loss'!$B$71+'Power Loss'!$B$64*B48*10^(-6)*((A17+0.5*E48)*'Power Loss'!$B$69+(A17-0.5*E48)*'Power Loss'!$B$70)+0.5*'Power Loss'!$B$65*Vin* B48*10^(-6)*'Power Loss'!$B$71+'Power Loss'!$B$68*10^(-9)*'Power Loss'!$B$71*Vin^2*B48*1000/2</f>
        <v>2.0476903783558962E-2</v>
      </c>
      <c r="F17" s="157">
        <f>B48*'Power Loss'!$B$79*'Power Loss'!$B$49*10^(-6)*'Power Loss'!$B$54+B48*'Power Loss'!$B$80*'Power Loss'!$B$66*10^(-6)*'Power Loss'!$B$71+'Power Loss'!$B$80*'Power Loss'!$B$81*0.001</f>
        <v>3.033781365322074E-2</v>
      </c>
      <c r="G17" s="157">
        <f t="shared" si="2"/>
        <v>1.4737943795249163E-3</v>
      </c>
      <c r="H17" s="157">
        <f>(0.5*E48/SQRT(3))^2*'Power Loss'!$B$33/'Power Loss'!$B$31/1000</f>
        <v>2.9437862456437867E-5</v>
      </c>
      <c r="I17" s="92"/>
      <c r="J17" s="38"/>
      <c r="K17" s="38"/>
    </row>
    <row r="18" spans="1:11" s="37" customFormat="1" ht="13" customHeight="1">
      <c r="A18" s="154">
        <f>Imin+(Imax-Imin)*0.008</f>
        <v>8.992E-3</v>
      </c>
      <c r="B18" s="155">
        <f t="shared" si="0"/>
        <v>8.4860774822040311E-2</v>
      </c>
      <c r="C18" s="156">
        <f t="shared" si="1"/>
        <v>34.63236147036686</v>
      </c>
      <c r="D18" s="157">
        <f>F49^2*Ron_u/'Power Loss'!$B$54/1000+Vin*(A18-0.5*E49)*'Power Loss'!$B$52*10^(-9)*B49*10^(3)/2+Vin*(A18+0.5*E49)*'Power Loss'!$B$53*10^(-9)*Fs*10^(3)/2+Vin*B49*10^3*'Power Loss'!$B$48*10^(-9)*'Power Loss'!$B$54+0.5*'Power Loss'!$B$51*10^(-9)*Vin^2*B49*10^3*'Power Loss'!$B$54</f>
        <v>3.2450146926427961E-2</v>
      </c>
      <c r="E18" s="157">
        <f>G49^2*'Power Loss'!$B$63/1000/'Power Loss'!$B$71+'Power Loss'!$B$64*B49*10^(-6)*((A18+0.5*E49)*'Power Loss'!$B$69+(A18-0.5*E49)*'Power Loss'!$B$70)+0.5*'Power Loss'!$B$65*Vin* B49*10^(-6)*'Power Loss'!$B$71+'Power Loss'!$B$68*10^(-9)*'Power Loss'!$B$71*Vin^2*B49*1000/2</f>
        <v>2.0564581672173187E-2</v>
      </c>
      <c r="F18" s="157">
        <f>B49*'Power Loss'!$B$79*'Power Loss'!$B$49*10^(-6)*'Power Loss'!$B$54+B49*'Power Loss'!$B$80*'Power Loss'!$B$66*10^(-6)*'Power Loss'!$B$71+'Power Loss'!$B$80*'Power Loss'!$B$81*0.001</f>
        <v>3.033911576453634E-2</v>
      </c>
      <c r="G18" s="157">
        <f t="shared" si="2"/>
        <v>1.4774896827968354E-3</v>
      </c>
      <c r="H18" s="157">
        <f>(0.5*E49/SQRT(3))^2*'Power Loss'!$B$33/'Power Loss'!$B$31/1000</f>
        <v>2.9440776105990502E-5</v>
      </c>
      <c r="I18" s="92"/>
      <c r="J18" s="38"/>
      <c r="K18" s="38"/>
    </row>
    <row r="19" spans="1:11" s="37" customFormat="1" ht="13" customHeight="1">
      <c r="A19" s="154">
        <f>Imin+(Imax-Imin)*0.01</f>
        <v>1.099E-2</v>
      </c>
      <c r="B19" s="155">
        <f t="shared" si="0"/>
        <v>8.5217409015169013E-2</v>
      </c>
      <c r="C19" s="156">
        <f t="shared" si="1"/>
        <v>39.203121742839144</v>
      </c>
      <c r="D19" s="157">
        <f>F50^2*Ron_u/'Power Loss'!$B$54/1000+Vin*(A19-0.5*E50)*'Power Loss'!$B$52*10^(-9)*B50*10^(3)/2+Vin*(A19+0.5*E50)*'Power Loss'!$B$53*10^(-9)*Fs*10^(3)/2+Vin*B50*10^3*'Power Loss'!$B$48*10^(-9)*'Power Loss'!$B$54+0.5*'Power Loss'!$B$51*10^(-9)*Vin^2*B50*10^3*'Power Loss'!$B$54</f>
        <v>3.2712662126339415E-2</v>
      </c>
      <c r="E19" s="157">
        <f>G50^2*'Power Loss'!$B$63/1000/'Power Loss'!$B$71+'Power Loss'!$B$64*B50*10^(-6)*((A19+0.5*E50)*'Power Loss'!$B$69+(A19-0.5*E50)*'Power Loss'!$B$70)+0.5*'Power Loss'!$B$65*Vin* B50*10^(-6)*'Power Loss'!$B$71+'Power Loss'!$B$68*10^(-9)*'Power Loss'!$B$71*Vin^2*B50*1000/2</f>
        <v>2.0653618801319253E-2</v>
      </c>
      <c r="F19" s="157">
        <f>B50*'Power Loss'!$B$79*'Power Loss'!$B$49*10^(-6)*'Power Loss'!$B$54+B50*'Power Loss'!$B$80*'Power Loss'!$B$66*10^(-6)*'Power Loss'!$B$71+'Power Loss'!$B$80*'Power Loss'!$B$81*0.001</f>
        <v>3.034042795273589E-2</v>
      </c>
      <c r="G19" s="157">
        <f t="shared" si="2"/>
        <v>1.4812564448417117E-3</v>
      </c>
      <c r="H19" s="157">
        <f>(0.5*E50/SQRT(3))^2*'Power Loss'!$B$33/'Power Loss'!$B$31/1000</f>
        <v>2.9443689932754461E-5</v>
      </c>
      <c r="I19" s="92"/>
      <c r="J19" s="38"/>
      <c r="K19" s="38"/>
    </row>
    <row r="20" spans="1:11" s="37" customFormat="1" ht="13" customHeight="1">
      <c r="A20" s="154">
        <f>Imin+(Imax-Imin)*0.02</f>
        <v>2.0980000000000002E-2</v>
      </c>
      <c r="B20" s="155">
        <f t="shared" si="0"/>
        <v>8.7034147746685053E-2</v>
      </c>
      <c r="C20" s="156">
        <f t="shared" si="1"/>
        <v>54.654161977704554</v>
      </c>
      <c r="D20" s="157">
        <f>F51^2*Ron_u/'Power Loss'!$B$54/1000+Vin*(A20-0.5*E51)*'Power Loss'!$B$52*10^(-9)*B51*10^(3)/2+Vin*(A20+0.5*E51)*'Power Loss'!$B$53*10^(-9)*Fs*10^(3)/2+Vin*B51*10^3*'Power Loss'!$B$48*10^(-9)*'Power Loss'!$B$54+0.5*'Power Loss'!$B$51*10^(-9)*Vin^2*B51*10^3*'Power Loss'!$B$54</f>
        <v>3.4036905085105762E-2</v>
      </c>
      <c r="E20" s="157">
        <f>G51^2*'Power Loss'!$B$63/1000/'Power Loss'!$B$71+'Power Loss'!$B$64*B51*10^(-6)*((A20+0.5*E51)*'Power Loss'!$B$69+(A20-0.5*E51)*'Power Loss'!$B$70)+0.5*'Power Loss'!$B$65*Vin* B51*10^(-6)*'Power Loss'!$B$71+'Power Loss'!$B$68*10^(-9)*'Power Loss'!$B$71*Vin^2*B51*1000/2</f>
        <v>2.1119463403070974E-2</v>
      </c>
      <c r="F20" s="157">
        <f>B51*'Power Loss'!$B$79*'Power Loss'!$B$49*10^(-6)*'Power Loss'!$B$54+B51*'Power Loss'!$B$80*'Power Loss'!$B$66*10^(-6)*'Power Loss'!$B$71+'Power Loss'!$B$80*'Power Loss'!$B$81*0.001</f>
        <v>3.0347144221915569E-2</v>
      </c>
      <c r="G20" s="157">
        <f t="shared" si="2"/>
        <v>1.5011767748678243E-3</v>
      </c>
      <c r="H20" s="157">
        <f>(0.5*E51/SQRT(3))^2*'Power Loss'!$B$33/'Power Loss'!$B$31/1000</f>
        <v>2.9458261724935549E-5</v>
      </c>
      <c r="I20" s="92"/>
      <c r="J20" s="38"/>
      <c r="K20" s="38"/>
    </row>
    <row r="21" spans="1:11" s="37" customFormat="1" ht="13" customHeight="1">
      <c r="A21" s="154">
        <f>Imin+(Imax-Imin)*0.04</f>
        <v>4.0960000000000003E-2</v>
      </c>
      <c r="B21" s="155">
        <f t="shared" si="0"/>
        <v>9.0841646466556736E-2</v>
      </c>
      <c r="C21" s="156">
        <f t="shared" si="1"/>
        <v>69.27305487833803</v>
      </c>
      <c r="D21" s="157">
        <f>F52^2*Ron_u/'Power Loss'!$B$54/1000+Vin*(A21-0.5*E52)*'Power Loss'!$B$52*10^(-9)*B52*10^(3)/2+Vin*(A21+0.5*E52)*'Power Loss'!$B$53*10^(-9)*Fs*10^(3)/2+Vin*B52*10^3*'Power Loss'!$B$48*10^(-9)*'Power Loss'!$B$54+0.5*'Power Loss'!$B$51*10^(-9)*Vin^2*B52*10^3*'Power Loss'!$B$54</f>
        <v>3.6746371122619068E-2</v>
      </c>
      <c r="E21" s="157">
        <f>G52^2*'Power Loss'!$B$63/1000/'Power Loss'!$B$71+'Power Loss'!$B$64*B52*10^(-6)*((A21+0.5*E52)*'Power Loss'!$B$69+(A21-0.5*E52)*'Power Loss'!$B$70)+0.5*'Power Loss'!$B$65*Vin* B52*10^(-6)*'Power Loss'!$B$71+'Power Loss'!$B$68*10^(-9)*'Power Loss'!$B$71*Vin^2*B52*1000/2</f>
        <v>2.215775338429957E-2</v>
      </c>
      <c r="F21" s="157">
        <f>B52*'Power Loss'!$B$79*'Power Loss'!$B$49*10^(-6)*'Power Loss'!$B$54+B52*'Power Loss'!$B$80*'Power Loss'!$B$66*10^(-6)*'Power Loss'!$B$71+'Power Loss'!$B$80*'Power Loss'!$B$81*0.001</f>
        <v>3.036140444659181E-2</v>
      </c>
      <c r="G21" s="157">
        <f t="shared" si="2"/>
        <v>1.5466300944429988E-3</v>
      </c>
      <c r="H21" s="157">
        <f>(0.5*E52/SQRT(3))^2*'Power Loss'!$B$33/'Power Loss'!$B$31/1000</f>
        <v>2.9487418603290229E-5</v>
      </c>
      <c r="I21" s="92"/>
      <c r="J21" s="38"/>
      <c r="K21" s="38"/>
    </row>
    <row r="22" spans="1:11" s="37" customFormat="1" ht="13" customHeight="1">
      <c r="A22" s="154">
        <f>Imin+(Imax-Imin)*0.06</f>
        <v>6.0940000000000001E-2</v>
      </c>
      <c r="B22" s="155">
        <f t="shared" si="0"/>
        <v>9.4895490566790058E-2</v>
      </c>
      <c r="C22" s="156">
        <f t="shared" si="1"/>
        <v>76.252111746258848</v>
      </c>
      <c r="D22" s="157">
        <f>F53^2*Ron_u/'Power Loss'!$B$54/1000+Vin*(A22-0.5*E53)*'Power Loss'!$B$52*10^(-9)*B53*10^(3)/2+Vin*(A22+0.5*E53)*'Power Loss'!$B$53*10^(-9)*Fs*10^(3)/2+Vin*B53*10^3*'Power Loss'!$B$48*10^(-9)*'Power Loss'!$B$54+0.5*'Power Loss'!$B$51*10^(-9)*Vin^2*B53*10^3*'Power Loss'!$B$54</f>
        <v>3.9543265546531821E-2</v>
      </c>
      <c r="E22" s="157">
        <f>G53^2*'Power Loss'!$B$63/1000/'Power Loss'!$B$71+'Power Loss'!$B$64*B53*10^(-6)*((A22+0.5*E53)*'Power Loss'!$B$69+(A22-0.5*E53)*'Power Loss'!$B$70)+0.5*'Power Loss'!$B$65*Vin* B53*10^(-6)*'Power Loss'!$B$71+'Power Loss'!$B$68*10^(-9)*'Power Loss'!$B$71*Vin^2*B53*1000/2</f>
        <v>2.3345834156973489E-2</v>
      </c>
      <c r="F22" s="157">
        <f>B53*'Power Loss'!$B$79*'Power Loss'!$B$49*10^(-6)*'Power Loss'!$B$54+B53*'Power Loss'!$B$80*'Power Loss'!$B$66*10^(-6)*'Power Loss'!$B$71+'Power Loss'!$B$80*'Power Loss'!$B$81*0.001</f>
        <v>3.0376886442272388E-2</v>
      </c>
      <c r="G22" s="157">
        <f t="shared" si="2"/>
        <v>1.5999878278008244E-3</v>
      </c>
      <c r="H22" s="157">
        <f>(0.5*E53/SQRT(3))^2*'Power Loss'!$B$33/'Power Loss'!$B$31/1000</f>
        <v>2.9516593211523601E-5</v>
      </c>
      <c r="I22" s="92"/>
      <c r="J22" s="38"/>
      <c r="K22" s="38"/>
    </row>
    <row r="23" spans="1:11" s="37" customFormat="1" ht="13" customHeight="1">
      <c r="A23" s="154">
        <f>Imin+(Imax-Imin)*0.08</f>
        <v>8.0920000000000006E-2</v>
      </c>
      <c r="B23" s="155">
        <f>SUM(D23:H23)</f>
        <v>9.9230657011146112E-2</v>
      </c>
      <c r="C23" s="156">
        <f>Vout*A23/(Vout*A23+B23)*100</f>
        <v>80.304760016032347</v>
      </c>
      <c r="D23" s="157">
        <f>F54^2*Ron_u/'Power Loss'!$B$54/1000+Vin*(A23-0.5*E54)*'Power Loss'!$B$52*10^(-9)*B54*10^(3)/2+Vin*(A23+0.5*E54)*'Power Loss'!$B$53*10^(-9)*Fs*10^(3)/2+Vin*B54*10^3*'Power Loss'!$B$48*10^(-9)*'Power Loss'!$B$54+0.5*'Power Loss'!$B$51*10^(-9)*Vin^2*B54*10^3*'Power Loss'!$B$54</f>
        <v>4.2446542464907561E-2</v>
      </c>
      <c r="E23" s="157">
        <f>G54^2*'Power Loss'!$B$63/1000/'Power Loss'!$B$71+'Power Loss'!$B$64*B54*10^(-6)*((A23+0.5*E54)*'Power Loss'!$B$69+(A23-0.5*E54)*'Power Loss'!$B$70)+0.5*'Power Loss'!$B$65*Vin* B54*10^(-6)*'Power Loss'!$B$71+'Power Loss'!$B$68*10^(-9)*'Power Loss'!$B$71*Vin^2*B54*1000/2</f>
        <v>2.4697228670863772E-2</v>
      </c>
      <c r="F23" s="157">
        <f>B54*'Power Loss'!$B$79*'Power Loss'!$B$49*10^(-6)*'Power Loss'!$B$54+B54*'Power Loss'!$B$80*'Power Loss'!$B$66*10^(-6)*'Power Loss'!$B$71+'Power Loss'!$B$80*'Power Loss'!$B$81*0.001</f>
        <v>3.0393754252545927E-2</v>
      </c>
      <c r="G23" s="157">
        <f t="shared" si="2"/>
        <v>1.6635566271893565E-3</v>
      </c>
      <c r="H23" s="157">
        <f>(0.5*E54/SQRT(3))^2*'Power Loss'!$B$33/'Power Loss'!$B$31/1000</f>
        <v>2.9574995639500561E-5</v>
      </c>
      <c r="I23" s="92"/>
      <c r="J23" s="38"/>
      <c r="K23" s="38"/>
    </row>
    <row r="24" spans="1:11" s="29" customFormat="1" ht="13" customHeight="1">
      <c r="A24" s="154">
        <f>Imin+(Imax-Imin)*0.1</f>
        <v>0.1009</v>
      </c>
      <c r="B24" s="155">
        <f t="shared" si="0"/>
        <v>0.10386243451244366</v>
      </c>
      <c r="C24" s="156">
        <f t="shared" si="1"/>
        <v>82.927539798593656</v>
      </c>
      <c r="D24" s="157">
        <f>F55^2*Ron_u/'Power Loss'!$B$54/1000+Vin*(A24-0.5*E55)*'Power Loss'!$B$52*10^(-9)*B55*10^(3)/2+Vin*(A24+0.5*E55)*'Power Loss'!$B$53*10^(-9)*Fs*10^(3)/2+Vin*B55*10^3*'Power Loss'!$B$48*10^(-9)*'Power Loss'!$B$54+0.5*'Power Loss'!$B$51*10^(-9)*Vin^2*B55*10^3*'Power Loss'!$B$54</f>
        <v>4.5460232656842521E-2</v>
      </c>
      <c r="E24" s="157">
        <f>G55^2*'Power Loss'!$B$63/1000/'Power Loss'!$B$71+'Power Loss'!$B$64*B55*10^(-6)*((A24+0.5*E55)*'Power Loss'!$B$69+(A24-0.5*E55)*'Power Loss'!$B$70)+0.5*'Power Loss'!$B$65*Vin* B55*10^(-6)*'Power Loss'!$B$71+'Power Loss'!$B$68*10^(-9)*'Power Loss'!$B$71*Vin^2*B55*1000/2</f>
        <v>2.6223010389201711E-2</v>
      </c>
      <c r="F24" s="157">
        <f>B55*'Power Loss'!$B$79*'Power Loss'!$B$49*10^(-6)*'Power Loss'!$B$54+B55*'Power Loss'!$B$80*'Power Loss'!$B$66*10^(-6)*'Power Loss'!$B$71+'Power Loss'!$B$80*'Power Loss'!$B$81*0.001</f>
        <v>3.0412202664478021E-2</v>
      </c>
      <c r="G24" s="157">
        <f t="shared" si="2"/>
        <v>1.7373407034189262E-3</v>
      </c>
      <c r="H24" s="157">
        <f>(0.5*E55/SQRT(3))^2*'Power Loss'!$B$33/'Power Loss'!$B$31/1000</f>
        <v>2.9648098502477762E-5</v>
      </c>
      <c r="I24" s="4"/>
      <c r="J24" s="4"/>
      <c r="K24" s="4"/>
    </row>
    <row r="25" spans="1:11" s="29" customFormat="1" ht="13" customHeight="1">
      <c r="A25" s="154">
        <f>Imin+(Imax-Imin)*0.15</f>
        <v>0.15084999999999998</v>
      </c>
      <c r="B25" s="155">
        <f t="shared" ref="B25:B38" si="3">SUM(D25:H25)</f>
        <v>0.11685318172455457</v>
      </c>
      <c r="C25" s="156">
        <f t="shared" ref="C25:C38" si="4">Vout*A25/(Vout*A25+B25)*100</f>
        <v>86.5856095837905</v>
      </c>
      <c r="D25" s="157">
        <f>F56^2*Ron_u/'Power Loss'!$B$54/1000+Vin*(A25-0.5*E56)*'Power Loss'!$B$52*10^(-9)*B56*10^(3)/2+Vin*(A25+0.5*E56)*'Power Loss'!$B$53*10^(-9)*Fs*10^(3)/2+Vin*B56*10^3*'Power Loss'!$B$48*10^(-9)*'Power Loss'!$B$54+0.5*'Power Loss'!$B$51*10^(-9)*Vin^2*B56*10^3*'Power Loss'!$B$54</f>
        <v>5.3503966665481136E-2</v>
      </c>
      <c r="E25" s="157">
        <f>G56^2*'Power Loss'!$B$63/1000/'Power Loss'!$B$71+'Power Loss'!$B$64*B56*10^(-6)*((A25+0.5*E56)*'Power Loss'!$B$69+(A25-0.5*E56)*'Power Loss'!$B$70)+0.5*'Power Loss'!$B$65*Vin* B56*10^(-6)*'Power Loss'!$B$71+'Power Loss'!$B$68*10^(-9)*'Power Loss'!$B$71*Vin^2*B56*1000/2</f>
        <v>3.0890676172283166E-2</v>
      </c>
      <c r="F25" s="157">
        <f>B56*'Power Loss'!$B$79*'Power Loss'!$B$49*10^(-6)*'Power Loss'!$B$54+B56*'Power Loss'!$B$80*'Power Loss'!$B$66*10^(-6)*'Power Loss'!$B$71+'Power Loss'!$B$80*'Power Loss'!$B$81*0.001</f>
        <v>3.0466890220621191E-2</v>
      </c>
      <c r="G25" s="157">
        <f t="shared" si="2"/>
        <v>1.9619273538037775E-3</v>
      </c>
      <c r="H25" s="157">
        <f>(0.5*E56/SQRT(3))^2*'Power Loss'!$B$33/'Power Loss'!$B$31/1000</f>
        <v>2.9721312365306017E-5</v>
      </c>
      <c r="I25" s="4"/>
      <c r="J25" s="4"/>
      <c r="K25" s="4"/>
    </row>
    <row r="26" spans="1:11" s="29" customFormat="1" ht="13" customHeight="1">
      <c r="A26" s="154">
        <f>Imin+(Imax-Imin)*0.2</f>
        <v>0.20080000000000001</v>
      </c>
      <c r="B26" s="155">
        <f t="shared" si="3"/>
        <v>0.13248612874207147</v>
      </c>
      <c r="C26" s="156">
        <f t="shared" si="4"/>
        <v>88.342477273460887</v>
      </c>
      <c r="D26" s="157">
        <f>F57^2*Ron_u/'Power Loss'!$B$54/1000+Vin*(A26-0.5*E57)*'Power Loss'!$B$52*10^(-9)*B57*10^(3)/2+Vin*(A26+0.5*E57)*'Power Loss'!$B$53*10^(-9)*Fs*10^(3)/2+Vin*B57*10^3*'Power Loss'!$B$48*10^(-9)*'Power Loss'!$B$54+0.5*'Power Loss'!$B$51*10^(-9)*Vin^2*B57*10^3*'Power Loss'!$B$54</f>
        <v>6.2563414014360136E-2</v>
      </c>
      <c r="E26" s="157">
        <f>G57^2*'Power Loss'!$B$63/1000/'Power Loss'!$B$71+'Power Loss'!$B$64*B57*10^(-6)*((A26+0.5*E57)*'Power Loss'!$B$69+(A26-0.5*E57)*'Power Loss'!$B$70)+0.5*'Power Loss'!$B$65*Vin* B57*10^(-6)*'Power Loss'!$B$71+'Power Loss'!$B$68*10^(-9)*'Power Loss'!$B$71*Vin^2*B57*1000/2</f>
        <v>3.7084130509372995E-2</v>
      </c>
      <c r="F26" s="157">
        <f>B57*'Power Loss'!$B$79*'Power Loss'!$B$49*10^(-6)*'Power Loss'!$B$54+B57*'Power Loss'!$B$80*'Power Loss'!$B$66*10^(-6)*'Power Loss'!$B$71+'Power Loss'!$B$80*'Power Loss'!$B$81*0.001</f>
        <v>3.0538308419622177E-2</v>
      </c>
      <c r="G26" s="157">
        <f t="shared" si="2"/>
        <v>2.2704811614025844E-3</v>
      </c>
      <c r="H26" s="157">
        <f>(0.5*E57/SQRT(3))^2*'Power Loss'!$B$33/'Power Loss'!$B$31/1000</f>
        <v>2.9794637313599653E-5</v>
      </c>
      <c r="I26" s="4"/>
      <c r="J26" s="4"/>
      <c r="K26" s="4"/>
    </row>
    <row r="27" spans="1:11" s="29" customFormat="1" ht="13" customHeight="1">
      <c r="A27" s="154">
        <f>Imin+(Imax-Imin)*0.25</f>
        <v>0.25074999999999997</v>
      </c>
      <c r="B27" s="155">
        <f t="shared" si="3"/>
        <v>0.15189028822387332</v>
      </c>
      <c r="C27" s="156">
        <f t="shared" si="4"/>
        <v>89.194227748281349</v>
      </c>
      <c r="D27" s="157">
        <f>F58^2*Ron_u/'Power Loss'!$B$54/1000+Vin*(A27-0.5*E58)*'Power Loss'!$B$52*10^(-9)*B58*10^(3)/2+Vin*(A27+0.5*E58)*'Power Loss'!$B$53*10^(-9)*Fs*10^(3)/2+Vin*B58*10^3*'Power Loss'!$B$48*10^(-9)*'Power Loss'!$B$54+0.5*'Power Loss'!$B$51*10^(-9)*Vin^2*B58*10^3*'Power Loss'!$B$54</f>
        <v>7.312156235284753E-2</v>
      </c>
      <c r="E27" s="157">
        <f>G58^2*'Power Loss'!$B$63/1000/'Power Loss'!$B$71+'Power Loss'!$B$64*B58*10^(-6)*((A27+0.5*E58)*'Power Loss'!$B$69+(A27-0.5*E58)*'Power Loss'!$B$70)+0.5*'Power Loss'!$B$65*Vin* B58*10^(-6)*'Power Loss'!$B$71+'Power Loss'!$B$68*10^(-9)*'Power Loss'!$B$71*Vin^2*B58*1000/2</f>
        <v>4.5397102564202874E-2</v>
      </c>
      <c r="F27" s="157">
        <f>B58*'Power Loss'!$B$79*'Power Loss'!$B$49*10^(-6)*'Power Loss'!$B$54+B58*'Power Loss'!$B$80*'Power Loss'!$B$66*10^(-6)*'Power Loss'!$B$71+'Power Loss'!$B$80*'Power Loss'!$B$81*0.001</f>
        <v>3.0635521410010167E-2</v>
      </c>
      <c r="G27" s="157">
        <f t="shared" si="2"/>
        <v>2.7061602760033725E-3</v>
      </c>
      <c r="H27" s="157">
        <f>(0.5*E58/SQRT(3))^2*'Power Loss'!$B$33/'Power Loss'!$B$31/1000</f>
        <v>2.9941620809392107E-5</v>
      </c>
      <c r="I27" s="4"/>
      <c r="J27" s="4"/>
      <c r="K27" s="4"/>
    </row>
    <row r="28" spans="1:11" s="29" customFormat="1" ht="13" customHeight="1">
      <c r="A28" s="154">
        <f>Imin+(Imax-Imin)*0.35</f>
        <v>0.35064999999999996</v>
      </c>
      <c r="B28" s="155">
        <f t="shared" si="3"/>
        <v>0.21250672406503462</v>
      </c>
      <c r="C28" s="156">
        <f t="shared" si="4"/>
        <v>89.189571554633318</v>
      </c>
      <c r="D28" s="157">
        <f>F59^2*Ron_u/'Power Loss'!$B$54/1000+Vin*(A28-0.5*E59)*'Power Loss'!$B$52*10^(-9)*B59*10^(3)/2+Vin*(A28+0.5*E59)*'Power Loss'!$B$53*10^(-9)*Fs*10^(3)/2+Vin*B59*10^3*'Power Loss'!$B$48*10^(-9)*'Power Loss'!$B$54+0.5*'Power Loss'!$B$51*10^(-9)*Vin^2*B59*10^3*'Power Loss'!$B$54</f>
        <v>0.10314711383100528</v>
      </c>
      <c r="E28" s="157">
        <f>G59^2*'Power Loss'!$B$63/1000/'Power Loss'!$B$71+'Power Loss'!$B$64*B59*10^(-6)*((A28+0.5*E59)*'Power Loss'!$B$69+(A28-0.5*E59)*'Power Loss'!$B$70)+0.5*'Power Loss'!$B$65*Vin* B59*10^(-6)*'Power Loss'!$B$71+'Power Loss'!$B$68*10^(-9)*'Power Loss'!$B$71*Vin^2*B59*1000/2</f>
        <v>7.402699903517021E-2</v>
      </c>
      <c r="F28" s="157">
        <f>B59*'Power Loss'!$B$79*'Power Loss'!$B$49*10^(-6)*'Power Loss'!$B$54+B59*'Power Loss'!$B$80*'Power Loss'!$B$66*10^(-6)*'Power Loss'!$B$71+'Power Loss'!$B$80*'Power Loss'!$B$81*0.001</f>
        <v>3.0994835697357715E-2</v>
      </c>
      <c r="G28" s="157">
        <f t="shared" si="2"/>
        <v>4.3077602219729269E-3</v>
      </c>
      <c r="H28" s="157">
        <f>(0.5*E59/SQRT(3))^2*'Power Loss'!$B$33/'Power Loss'!$B$31/1000</f>
        <v>3.0015279528471614E-5</v>
      </c>
      <c r="I28" s="4"/>
      <c r="J28" s="4"/>
      <c r="K28" s="4"/>
    </row>
    <row r="29" spans="1:11" s="29" customFormat="1" ht="13" customHeight="1">
      <c r="A29" s="154">
        <f>Imin+(Imax-Imin)*0.4</f>
        <v>0.40060000000000001</v>
      </c>
      <c r="B29" s="155">
        <f t="shared" si="3"/>
        <v>0.2299042143237906</v>
      </c>
      <c r="C29" s="156">
        <f t="shared" si="4"/>
        <v>89.703803107675427</v>
      </c>
      <c r="D29" s="157">
        <f>F60^2*Ron_u/'Power Loss'!$B$54/1000+Vin*(A29-0.5*E60)*'Power Loss'!$B$52*10^(-9)*B60*10^(3)/2+Vin*(A29+0.5*E60)*'Power Loss'!$B$53*10^(-9)*Fs*10^(3)/2+Vin*B60*10^3*'Power Loss'!$B$48*10^(-9)*'Power Loss'!$B$54+0.5*'Power Loss'!$B$51*10^(-9)*Vin^2*B60*10^3*'Power Loss'!$B$54</f>
        <v>0.11525135645738889</v>
      </c>
      <c r="E29" s="157">
        <f>G60^2*'Power Loss'!$B$63/1000/'Power Loss'!$B$71+'Power Loss'!$B$64*B60*10^(-6)*((A29+0.5*E60)*'Power Loss'!$B$69+(A29-0.5*E60)*'Power Loss'!$B$70)+0.5*'Power Loss'!$B$65*Vin* B60*10^(-6)*'Power Loss'!$B$71+'Power Loss'!$B$68*10^(-9)*'Power Loss'!$B$71*Vin^2*B60*1000/2</f>
        <v>7.9097319755067799E-2</v>
      </c>
      <c r="F29" s="157">
        <f>B60*'Power Loss'!$B$79*'Power Loss'!$B$49*10^(-6)*'Power Loss'!$B$54+B60*'Power Loss'!$B$80*'Power Loss'!$B$66*10^(-6)*'Power Loss'!$B$71+'Power Loss'!$B$80*'Power Loss'!$B$81*0.001</f>
        <v>3.1E-2</v>
      </c>
      <c r="G29" s="157">
        <f t="shared" si="2"/>
        <v>4.5254490616577336E-3</v>
      </c>
      <c r="H29" s="157">
        <f>(0.5*E60/SQRT(3))^2*'Power Loss'!$B$33/'Power Loss'!$B$31/1000</f>
        <v>3.0089049676177877E-5</v>
      </c>
      <c r="I29" s="4"/>
      <c r="J29" s="4"/>
      <c r="K29" s="4"/>
    </row>
    <row r="30" spans="1:11" s="29" customFormat="1" ht="13" customHeight="1">
      <c r="A30" s="154">
        <f>Imin+(Imax-Imin)*0.45</f>
        <v>0.45055000000000001</v>
      </c>
      <c r="B30" s="155">
        <f t="shared" si="3"/>
        <v>0.24743068134074597</v>
      </c>
      <c r="C30" s="156">
        <f t="shared" si="4"/>
        <v>90.103487992393454</v>
      </c>
      <c r="D30" s="157">
        <f>F61^2*Ron_u/'Power Loss'!$B$54/1000+Vin*(A30-0.5*E61)*'Power Loss'!$B$52*10^(-9)*B61*10^(3)/2+Vin*(A30+0.5*E61)*'Power Loss'!$B$53*10^(-9)*Fs*10^(3)/2+Vin*B61*10^3*'Power Loss'!$B$48*10^(-9)*'Power Loss'!$B$54+0.5*'Power Loss'!$B$51*10^(-9)*Vin^2*B61*10^3*'Power Loss'!$B$54</f>
        <v>0.12735537788277562</v>
      </c>
      <c r="E30" s="157">
        <f>G61^2*'Power Loss'!$B$63/1000/'Power Loss'!$B$71+'Power Loss'!$B$64*B61*10^(-6)*((A30+0.5*E61)*'Power Loss'!$B$69+(A30-0.5*E61)*'Power Loss'!$B$70)+0.5*'Power Loss'!$B$65*Vin* B61*10^(-6)*'Power Loss'!$B$71+'Power Loss'!$B$68*10^(-9)*'Power Loss'!$B$71*Vin^2*B61*1000/2</f>
        <v>8.4297043665511565E-2</v>
      </c>
      <c r="F30" s="157">
        <f>B61*'Power Loss'!$B$79*'Power Loss'!$B$49*10^(-6)*'Power Loss'!$B$54+B61*'Power Loss'!$B$80*'Power Loss'!$B$66*10^(-6)*'Power Loss'!$B$71+'Power Loss'!$B$80*'Power Loss'!$B$81*0.001</f>
        <v>3.1E-2</v>
      </c>
      <c r="G30" s="157">
        <f t="shared" si="2"/>
        <v>4.7480968611203142E-3</v>
      </c>
      <c r="H30" s="157">
        <f>(0.5*E61/SQRT(3))^2*'Power Loss'!$B$33/'Power Loss'!$B$31/1000</f>
        <v>3.0162931338477632E-5</v>
      </c>
      <c r="I30" s="4"/>
      <c r="J30" s="4"/>
      <c r="K30" s="4"/>
    </row>
    <row r="31" spans="1:11" s="29" customFormat="1" ht="13" customHeight="1">
      <c r="A31" s="154">
        <f>Imin+(Imax-Imin)*0.5</f>
        <v>0.50049999999999994</v>
      </c>
      <c r="B31" s="155">
        <f t="shared" si="3"/>
        <v>0.26557769573764356</v>
      </c>
      <c r="C31" s="156">
        <f t="shared" si="4"/>
        <v>90.405699372290499</v>
      </c>
      <c r="D31" s="157">
        <f>F62^2*Ron_u/'Power Loss'!$B$54/1000+Vin*(A31-0.5*E62)*'Power Loss'!$B$52*10^(-9)*B62*10^(3)/2+Vin*(A31+0.5*E62)*'Power Loss'!$B$53*10^(-9)*Fs*10^(3)/2+Vin*B62*10^3*'Power Loss'!$B$48*10^(-9)*'Power Loss'!$B$54+0.5*'Power Loss'!$B$51*10^(-9)*Vin^2*B62*10^3*'Power Loss'!$B$54</f>
        <v>0.13961709652476287</v>
      </c>
      <c r="E31" s="157">
        <f>G62^2*'Power Loss'!$B$63/1000/'Power Loss'!$B$71+'Power Loss'!$B$64*B62*10^(-6)*((A31+0.5*E62)*'Power Loss'!$B$69+(A31-0.5*E62)*'Power Loss'!$B$70)+0.5*'Power Loss'!$B$65*Vin* B62*10^(-6)*'Power Loss'!$B$71+'Power Loss'!$B$68*10^(-9)*'Power Loss'!$B$71*Vin^2*B62*1000/2</f>
        <v>8.9934649802507233E-2</v>
      </c>
      <c r="F31" s="157">
        <f>B62*'Power Loss'!$B$79*'Power Loss'!$B$49*10^(-6)*'Power Loss'!$B$54+B62*'Power Loss'!$B$80*'Power Loss'!$B$66*10^(-6)*'Power Loss'!$B$71+'Power Loss'!$B$80*'Power Loss'!$B$81*0.001</f>
        <v>3.1E-2</v>
      </c>
      <c r="G31" s="157">
        <f t="shared" si="2"/>
        <v>4.9957124857720617E-3</v>
      </c>
      <c r="H31" s="157">
        <f>(0.5*E62/SQRT(3))^2*'Power Loss'!$B$33/'Power Loss'!$B$31/1000</f>
        <v>3.0236924601408254E-5</v>
      </c>
      <c r="I31" s="4"/>
      <c r="J31" s="4"/>
      <c r="K31" s="4"/>
    </row>
    <row r="32" spans="1:11" s="29" customFormat="1" ht="13" customHeight="1">
      <c r="A32" s="154">
        <f>Imin+(Imax-Imin)*0.55</f>
        <v>0.55044999999999999</v>
      </c>
      <c r="B32" s="155">
        <f t="shared" si="3"/>
        <v>0.28434552174256156</v>
      </c>
      <c r="C32" s="156">
        <f t="shared" si="4"/>
        <v>90.636042248412835</v>
      </c>
      <c r="D32" s="157">
        <f>F63^2*Ron_u/'Power Loss'!$B$54/1000+Vin*(A32-0.5*E63)*'Power Loss'!$B$52*10^(-9)*B63*10^(3)/2+Vin*(A32+0.5*E63)*'Power Loss'!$B$53*10^(-9)*Fs*10^(3)/2+Vin*B63*10^3*'Power Loss'!$B$48*10^(-9)*'Power Loss'!$B$54+0.5*'Power Loss'!$B$51*10^(-9)*Vin^2*B63*10^3*'Power Loss'!$B$54</f>
        <v>0.15203708127108045</v>
      </c>
      <c r="E32" s="157">
        <f>G63^2*'Power Loss'!$B$63/1000/'Power Loss'!$B$71+'Power Loss'!$B$64*B63*10^(-6)*((A32+0.5*E63)*'Power Loss'!$B$69+(A32-0.5*E63)*'Power Loss'!$B$70)+0.5*'Power Loss'!$B$65*Vin* B63*10^(-6)*'Power Loss'!$B$71+'Power Loss'!$B$68*10^(-9)*'Power Loss'!$B$71*Vin^2*B63*1000/2</f>
        <v>9.6009833488376856E-2</v>
      </c>
      <c r="F32" s="157">
        <f>B63*'Power Loss'!$B$79*'Power Loss'!$B$49*10^(-6)*'Power Loss'!$B$54+B63*'Power Loss'!$B$80*'Power Loss'!$B$66*10^(-6)*'Power Loss'!$B$71+'Power Loss'!$B$80*'Power Loss'!$B$81*0.001</f>
        <v>3.1E-2</v>
      </c>
      <c r="G32" s="157">
        <f t="shared" si="2"/>
        <v>5.2682959535531818E-3</v>
      </c>
      <c r="H32" s="157">
        <f>(0.5*E63/SQRT(3))^2*'Power Loss'!$B$33/'Power Loss'!$B$31/1000</f>
        <v>3.0311029551077871E-5</v>
      </c>
      <c r="I32" s="4"/>
      <c r="J32" s="4"/>
      <c r="K32" s="4"/>
    </row>
    <row r="33" spans="1:23" s="29" customFormat="1" ht="13" customHeight="1">
      <c r="A33" s="154">
        <f>Imin+(Imax-Imin)*0.6</f>
        <v>0.60039999999999993</v>
      </c>
      <c r="B33" s="155">
        <f t="shared" si="3"/>
        <v>0.30373442373361231</v>
      </c>
      <c r="C33" s="156">
        <f t="shared" si="4"/>
        <v>90.811892765706091</v>
      </c>
      <c r="D33" s="157">
        <f>F64^2*Ron_u/'Power Loss'!$B$54/1000+Vin*(A33-0.5*E64)*'Power Loss'!$B$52*10^(-9)*B64*10^(3)/2+Vin*(A33+0.5*E64)*'Power Loss'!$B$53*10^(-9)*Fs*10^(3)/2+Vin*B64*10^3*'Power Loss'!$B$48*10^(-9)*'Power Loss'!$B$54+0.5*'Power Loss'!$B$51*10^(-9)*Vin^2*B64*10^3*'Power Loss'!$B$54</f>
        <v>0.16461590133246776</v>
      </c>
      <c r="E33" s="157">
        <f>G64^2*'Power Loss'!$B$63/1000/'Power Loss'!$B$71+'Power Loss'!$B$64*B64*10^(-6)*((A33+0.5*E64)*'Power Loss'!$B$69+(A33-0.5*E64)*'Power Loss'!$B$70)+0.5*'Power Loss'!$B$65*Vin* B64*10^(-6)*'Power Loss'!$B$71+'Power Loss'!$B$68*10^(-9)*'Power Loss'!$B$71*Vin^2*B64*1000/2</f>
        <v>0.10252228987245227</v>
      </c>
      <c r="F33" s="157">
        <f>B64*'Power Loss'!$B$79*'Power Loss'!$B$49*10^(-6)*'Power Loss'!$B$54+B64*'Power Loss'!$B$80*'Power Loss'!$B$66*10^(-6)*'Power Loss'!$B$71+'Power Loss'!$B$80*'Power Loss'!$B$81*0.001</f>
        <v>3.1E-2</v>
      </c>
      <c r="G33" s="157">
        <f t="shared" si="2"/>
        <v>5.5658472824185942E-3</v>
      </c>
      <c r="H33" s="157">
        <f>(0.5*E64/SQRT(3))^2*'Power Loss'!$B$33/'Power Loss'!$B$31/1000</f>
        <v>3.0385246273665369E-5</v>
      </c>
      <c r="I33" s="4"/>
      <c r="J33" s="4"/>
      <c r="K33" s="4"/>
    </row>
    <row r="34" spans="1:23" s="29" customFormat="1" ht="13" customHeight="1">
      <c r="A34" s="154">
        <f>Imin+(Imax-Imin)*0.65</f>
        <v>0.65034999999999998</v>
      </c>
      <c r="B34" s="155">
        <f t="shared" si="3"/>
        <v>0.32374466623904891</v>
      </c>
      <c r="C34" s="156">
        <f t="shared" si="4"/>
        <v>90.94545800065238</v>
      </c>
      <c r="D34" s="157">
        <f>F65^2*Ron_u/'Power Loss'!$B$54/1000+Vin*(A34-0.5*E65)*'Power Loss'!$B$52*10^(-9)*B65*10^(3)/2+Vin*(A34+0.5*E65)*'Power Loss'!$B$53*10^(-9)*Fs*10^(3)/2+Vin*B65*10^3*'Power Loss'!$B$48*10^(-9)*'Power Loss'!$B$54+0.5*'Power Loss'!$B$51*10^(-9)*Vin^2*B65*10^3*'Power Loss'!$B$54</f>
        <v>0.17735412624290339</v>
      </c>
      <c r="E34" s="157">
        <f>G65^2*'Power Loss'!$B$63/1000/'Power Loss'!$B$71+'Power Loss'!$B$64*B65*10^(-6)*((A34+0.5*E65)*'Power Loss'!$B$69+(A34-0.5*E65)*'Power Loss'!$B$70)+0.5*'Power Loss'!$B$65*Vin* B65*10^(-6)*'Power Loss'!$B$71+'Power Loss'!$B$68*10^(-9)*'Power Loss'!$B$71*Vin^2*B65*1000/2</f>
        <v>0.10947171393095216</v>
      </c>
      <c r="F34" s="157">
        <f>B65*'Power Loss'!$B$79*'Power Loss'!$B$49*10^(-6)*'Power Loss'!$B$54+B65*'Power Loss'!$B$80*'Power Loss'!$B$66*10^(-6)*'Power Loss'!$B$71+'Power Loss'!$B$80*'Power Loss'!$B$81*0.001</f>
        <v>3.1E-2</v>
      </c>
      <c r="G34" s="157">
        <f t="shared" si="2"/>
        <v>5.8883664903379793E-3</v>
      </c>
      <c r="H34" s="157">
        <f>(0.5*E65/SQRT(3))^2*'Power Loss'!$B$33/'Power Loss'!$B$31/1000</f>
        <v>3.0459574855420553E-5</v>
      </c>
      <c r="I34" s="4"/>
      <c r="J34" s="4"/>
      <c r="K34" s="4"/>
    </row>
    <row r="35" spans="1:23" s="29" customFormat="1" ht="13" customHeight="1">
      <c r="A35" s="154">
        <f>Imin+(Imax-Imin)*0.7</f>
        <v>0.70029999999999992</v>
      </c>
      <c r="B35" s="155">
        <f t="shared" si="3"/>
        <v>0.34437651393737212</v>
      </c>
      <c r="C35" s="156">
        <f t="shared" si="4"/>
        <v>91.045564965766332</v>
      </c>
      <c r="D35" s="157">
        <f>F66^2*Ron_u/'Power Loss'!$B$54/1000+Vin*(A35-0.5*E66)*'Power Loss'!$B$52*10^(-9)*B66*10^(3)/2+Vin*(A35+0.5*E66)*'Power Loss'!$B$53*10^(-9)*Fs*10^(3)/2+Vin*B66*10^3*'Power Loss'!$B$48*10^(-9)*'Power Loss'!$B$54+0.5*'Power Loss'!$B$51*10^(-9)*Vin^2*B66*10^3*'Power Loss'!$B$54</f>
        <v>0.19025232585983423</v>
      </c>
      <c r="E35" s="157">
        <f>G66^2*'Power Loss'!$B$63/1000/'Power Loss'!$B$71+'Power Loss'!$B$64*B66*10^(-6)*((A35+0.5*E66)*'Power Loss'!$B$69+(A35-0.5*E66)*'Power Loss'!$B$70)+0.5*'Power Loss'!$B$65*Vin* B66*10^(-6)*'Power Loss'!$B$71+'Power Loss'!$B$68*10^(-9)*'Power Loss'!$B$71*Vin^2*B66*1000/2</f>
        <v>0.11685780046685944</v>
      </c>
      <c r="F35" s="157">
        <f>B66*'Power Loss'!$B$79*'Power Loss'!$B$49*10^(-6)*'Power Loss'!$B$54+B66*'Power Loss'!$B$80*'Power Loss'!$B$66*10^(-6)*'Power Loss'!$B$71+'Power Loss'!$B$80*'Power Loss'!$B$81*0.001</f>
        <v>3.1E-2</v>
      </c>
      <c r="G35" s="157">
        <f t="shared" si="2"/>
        <v>6.235853595295774E-3</v>
      </c>
      <c r="H35" s="157">
        <f>(0.5*E66/SQRT(3))^2*'Power Loss'!$B$33/'Power Loss'!$B$31/1000</f>
        <v>3.0534015382664146E-5</v>
      </c>
      <c r="I35" s="4"/>
      <c r="J35" s="4"/>
      <c r="K35" s="4"/>
    </row>
    <row r="36" spans="1:23" s="29" customFormat="1" ht="13" customHeight="1">
      <c r="A36" s="154">
        <f>Imin+(Imax-Imin)*0.75</f>
        <v>0.75024999999999997</v>
      </c>
      <c r="B36" s="155">
        <f t="shared" si="3"/>
        <v>0.36563023165743663</v>
      </c>
      <c r="C36" s="156">
        <f t="shared" si="4"/>
        <v>91.118754710281294</v>
      </c>
      <c r="D36" s="157">
        <f>F67^2*Ron_u/'Power Loss'!$B$54/1000+Vin*(A36-0.5*E67)*'Power Loss'!$B$52*10^(-9)*B67*10^(3)/2+Vin*(A36+0.5*E67)*'Power Loss'!$B$53*10^(-9)*Fs*10^(3)/2+Vin*B67*10^3*'Power Loss'!$B$48*10^(-9)*'Power Loss'!$B$54+0.5*'Power Loss'!$B$51*10^(-9)*Vin^2*B67*10^3*'Power Loss'!$B$54</f>
        <v>0.2033110703644056</v>
      </c>
      <c r="E36" s="157">
        <f>G67^2*'Power Loss'!$B$63/1000/'Power Loss'!$B$71+'Power Loss'!$B$64*B67*10^(-6)*((A36+0.5*E67)*'Power Loss'!$B$69+(A36-0.5*E67)*'Power Loss'!$B$70)+0.5*'Power Loss'!$B$65*Vin* B67*10^(-6)*'Power Loss'!$B$71+'Power Loss'!$B$68*10^(-9)*'Power Loss'!$B$71*Vin^2*B67*1000/2</f>
        <v>0.12468024410979799</v>
      </c>
      <c r="F36" s="157">
        <f>B67*'Power Loss'!$B$79*'Power Loss'!$B$49*10^(-6)*'Power Loss'!$B$54+B67*'Power Loss'!$B$80*'Power Loss'!$B$66*10^(-6)*'Power Loss'!$B$71+'Power Loss'!$B$80*'Power Loss'!$B$81*0.001</f>
        <v>3.1E-2</v>
      </c>
      <c r="G36" s="157">
        <f t="shared" si="2"/>
        <v>6.6083086152912054E-3</v>
      </c>
      <c r="H36" s="157">
        <f>(0.5*E67/SQRT(3))^2*'Power Loss'!$B$33/'Power Loss'!$B$31/1000</f>
        <v>3.0608567941787853E-5</v>
      </c>
      <c r="I36" s="4"/>
      <c r="J36" s="4"/>
      <c r="K36" s="4"/>
    </row>
    <row r="37" spans="1:23" s="29" customFormat="1" ht="13" customHeight="1">
      <c r="A37" s="154">
        <f>Imin+(Imax-Imin)*0.8</f>
        <v>0.80020000000000002</v>
      </c>
      <c r="B37" s="155">
        <f t="shared" si="3"/>
        <v>0.3875060843785576</v>
      </c>
      <c r="C37" s="156">
        <f t="shared" si="4"/>
        <v>91.169977278647636</v>
      </c>
      <c r="D37" s="157">
        <f>F68^2*Ron_u/'Power Loss'!$B$54/1000+Vin*(A37-0.5*E68)*'Power Loss'!$B$52*10^(-9)*B68*10^(3)/2+Vin*(A37+0.5*E68)*'Power Loss'!$B$53*10^(-9)*Fs*10^(3)/2+Vin*B68*10^3*'Power Loss'!$B$48*10^(-9)*'Power Loss'!$B$54+0.5*'Power Loss'!$B$51*10^(-9)*Vin^2*B68*10^3*'Power Loss'!$B$54</f>
        <v>0.21653093026169054</v>
      </c>
      <c r="E37" s="157">
        <f>G68^2*'Power Loss'!$B$63/1000/'Power Loss'!$B$71+'Power Loss'!$B$64*B68*10^(-6)*((A37+0.5*E68)*'Power Loss'!$B$69+(A37-0.5*E68)*'Power Loss'!$B$70)+0.5*'Power Loss'!$B$65*Vin* B68*10^(-6)*'Power Loss'!$B$71+'Power Loss'!$B$68*10^(-9)*'Power Loss'!$B$71*Vin^2*B68*1000/2</f>
        <v>0.13293873931590958</v>
      </c>
      <c r="F37" s="157">
        <f>B68*'Power Loss'!$B$79*'Power Loss'!$B$49*10^(-6)*'Power Loss'!$B$54+B68*'Power Loss'!$B$80*'Power Loss'!$B$66*10^(-6)*'Power Loss'!$B$71+'Power Loss'!$B$80*'Power Loss'!$B$81*0.001</f>
        <v>3.1E-2</v>
      </c>
      <c r="G37" s="157">
        <f t="shared" si="2"/>
        <v>7.0057315683383012E-3</v>
      </c>
      <c r="H37" s="157">
        <f>(0.5*E68/SQRT(3))^2*'Power Loss'!$B$33/'Power Loss'!$B$31/1000</f>
        <v>3.0683232619254484E-5</v>
      </c>
      <c r="I37" s="4"/>
      <c r="J37" s="4"/>
      <c r="K37" s="4"/>
    </row>
    <row r="38" spans="1:23" s="29" customFormat="1" ht="13" customHeight="1">
      <c r="A38" s="154">
        <f>Imin+(Imax-Imin)*0.85</f>
        <v>0.85014999999999996</v>
      </c>
      <c r="B38" s="155">
        <f t="shared" si="3"/>
        <v>0.41000433723061885</v>
      </c>
      <c r="C38" s="156">
        <f t="shared" si="4"/>
        <v>91.203047670728765</v>
      </c>
      <c r="D38" s="157">
        <f>F69^2*Ron_u/'Power Loss'!$B$54/1000+Vin*(A38-0.5*E69)*'Power Loss'!$B$52*10^(-9)*B69*10^(3)/2+Vin*(A38+0.5*E69)*'Power Loss'!$B$53*10^(-9)*Fs*10^(3)/2+Vin*B69*10^3*'Power Loss'!$B$48*10^(-9)*'Power Loss'!$B$54+0.5*'Power Loss'!$B$51*10^(-9)*Vin^2*B69*10^3*'Power Loss'!$B$54</f>
        <v>0.22991247638092058</v>
      </c>
      <c r="E38" s="157">
        <f>G69^2*'Power Loss'!$B$63/1000/'Power Loss'!$B$71+'Power Loss'!$B$64*B69*10^(-6)*((A38+0.5*E69)*'Power Loss'!$B$69+(A38-0.5*E69)*'Power Loss'!$B$70)+0.5*'Power Loss'!$B$65*Vin* B69*10^(-6)*'Power Loss'!$B$71+'Power Loss'!$B$68*10^(-9)*'Power Loss'!$B$71*Vin^2*B69*1000/2</f>
        <v>0.14163298036773075</v>
      </c>
      <c r="F38" s="157">
        <f>B69*'Power Loss'!$B$79*'Power Loss'!$B$49*10^(-6)*'Power Loss'!$B$54+B69*'Power Loss'!$B$80*'Power Loss'!$B$66*10^(-6)*'Power Loss'!$B$71+'Power Loss'!$B$80*'Power Loss'!$B$81*0.001</f>
        <v>3.1E-2</v>
      </c>
      <c r="G38" s="157">
        <f t="shared" si="2"/>
        <v>7.4281224724658985E-3</v>
      </c>
      <c r="H38" s="157">
        <f>(0.5*E69/SQRT(3))^2*'Power Loss'!$B$33/'Power Loss'!$B$31/1000</f>
        <v>3.0758009501597933E-5</v>
      </c>
      <c r="I38" s="4"/>
      <c r="J38" s="4"/>
      <c r="K38" s="4"/>
    </row>
    <row r="39" spans="1:23" s="29" customFormat="1" ht="13" customHeight="1">
      <c r="A39" s="154">
        <f>Imin+(Imax-Imin)*0.9</f>
        <v>0.90010000000000001</v>
      </c>
      <c r="B39" s="155">
        <f>SUM(D39:H39)</f>
        <v>0.43312525549417813</v>
      </c>
      <c r="C39" s="156">
        <f>Vout*A39/(Vout*A39+B39)*100</f>
        <v>91.220953496379934</v>
      </c>
      <c r="D39" s="157">
        <f>F70^2*Ron_u/'Power Loss'!$B$54/1000+Vin*(A39-0.5*E70)*'Power Loss'!$B$52*10^(-9)*B70*10^(3)/2+Vin*(A39+0.5*E70)*'Power Loss'!$B$53*10^(-9)*Fs*10^(3)/2+Vin*B70*10^3*'Power Loss'!$B$48*10^(-9)*'Power Loss'!$B$54+0.5*'Power Loss'!$B$51*10^(-9)*Vin^2*B70*10^3*'Power Loss'!$B$54</f>
        <v>0.24345627987571541</v>
      </c>
      <c r="E39" s="157">
        <f>G70^2*'Power Loss'!$B$63/1000/'Power Loss'!$B$71+'Power Loss'!$B$64*B70*10^(-6)*((A39+0.5*E70)*'Power Loss'!$B$69+(A39-0.5*E70)*'Power Loss'!$B$70)+0.5*'Power Loss'!$B$65*Vin* B70*10^(-6)*'Power Loss'!$B$71+'Power Loss'!$B$68*10^(-9)*'Power Loss'!$B$71*Vin^2*B70*1000/2</f>
        <v>0.1507626613740696</v>
      </c>
      <c r="F39" s="157">
        <f>B70*'Power Loss'!$B$79*'Power Loss'!$B$49*10^(-6)*'Power Loss'!$B$54+B70*'Power Loss'!$B$80*'Power Loss'!$B$66*10^(-6)*'Power Loss'!$B$71+'Power Loss'!$B$80*'Power Loss'!$B$81*0.001</f>
        <v>3.1E-2</v>
      </c>
      <c r="G39" s="157">
        <f t="shared" si="2"/>
        <v>7.8754813457176959E-3</v>
      </c>
      <c r="H39" s="157">
        <f>(0.5*E70/SQRT(3))^2*'Power Loss'!$B$33/'Power Loss'!$B$31/1000</f>
        <v>3.0832898675423376E-5</v>
      </c>
      <c r="I39" s="4"/>
      <c r="J39" s="4"/>
      <c r="K39" s="4"/>
    </row>
    <row r="40" spans="1:23" ht="15" customHeight="1">
      <c r="A40" s="154">
        <f>Imin+(Imax-Imin)*0.95</f>
        <v>0.95004999999999995</v>
      </c>
      <c r="B40" s="155">
        <f>SUM(D40:H40)</f>
        <v>0.45686910460057539</v>
      </c>
      <c r="C40" s="156">
        <f>Vout*A40/(Vout*A40+B40)*100</f>
        <v>91.226067708016814</v>
      </c>
      <c r="D40" s="157">
        <f>F71^2*Ron_u/'Power Loss'!$B$54/1000+Vin*(A40-0.5*E71)*'Power Loss'!$B$52*10^(-9)*B71*10^(3)/2+Vin*(A40+0.5*E71)*'Power Loss'!$B$53*10^(-9)*Fs*10^(3)/2+Vin*B71*10^3*'Power Loss'!$B$48*10^(-9)*'Power Loss'!$B$54+0.5*'Power Loss'!$B$51*10^(-9)*Vin^2*B71*10^3*'Power Loss'!$B$54</f>
        <v>0.25716291222431376</v>
      </c>
      <c r="E40" s="157">
        <f>G71^2*'Power Loss'!$B$63/1000/'Power Loss'!$B$71+'Power Loss'!$B$64*B71*10^(-6)*((A40+0.5*E71)*'Power Loss'!$B$69+(A40-0.5*E71)*'Power Loss'!$B$70)+0.5*'Power Loss'!$B$65*Vin* B71*10^(-6)*'Power Loss'!$B$71+'Power Loss'!$B$68*10^(-9)*'Power Loss'!$B$71*Vin^2*B71*1000/2</f>
        <v>0.16032747626988197</v>
      </c>
      <c r="F40" s="157">
        <f>B71*'Power Loss'!$B$79*'Power Loss'!$B$49*10^(-6)*'Power Loss'!$B$54+B71*'Power Loss'!$B$80*'Power Loss'!$B$66*10^(-6)*'Power Loss'!$B$71+'Power Loss'!$B$80*'Power Loss'!$B$81*0.001</f>
        <v>3.1E-2</v>
      </c>
      <c r="G40" s="157">
        <f t="shared" si="2"/>
        <v>8.3478082061522151E-3</v>
      </c>
      <c r="H40" s="157">
        <f>(0.5*E71/SQRT(3))^2*'Power Loss'!$B$33/'Power Loss'!$B$31/1000</f>
        <v>3.0907900227407146E-5</v>
      </c>
      <c r="I40" s="4"/>
      <c r="J40" s="4"/>
      <c r="K40" s="4"/>
    </row>
    <row r="41" spans="1:23" ht="14.25" customHeight="1">
      <c r="A41" s="154">
        <f>Imin+(Imax-Imin)*1</f>
        <v>1</v>
      </c>
      <c r="B41" s="155">
        <f>SUM(D41:H41)</f>
        <v>0.48064179277149255</v>
      </c>
      <c r="C41" s="156">
        <f>Vout*A41/(Vout*A41+B41)*100</f>
        <v>91.230191445727783</v>
      </c>
      <c r="D41" s="157">
        <f>F72^2*Ron_u/'Power Loss'!$B$54/1000+Vin*(A41-0.5*E72)*'Power Loss'!$B$52*10^(-9)*B72*10^(3)/2+Vin*(A41+0.5*E72)*'Power Loss'!$B$53*10^(-9)*Fs*10^(3)/2+Vin*B72*10^3*'Power Loss'!$B$48*10^(-9)*'Power Loss'!$B$54+0.5*'Power Loss'!$B$51*10^(-9)*Vin^2*B72*10^3*'Power Loss'!$B$54</f>
        <v>0.27035538897046096</v>
      </c>
      <c r="E41" s="157">
        <f>G72^2*'Power Loss'!$B$63/1000/'Power Loss'!$B$71+'Power Loss'!$B$64*B72*10^(-6)*((A41+0.5*E72)*'Power Loss'!$B$69+(A41-0.5*E72)*'Power Loss'!$B$70)+0.5*'Power Loss'!$B$65*Vin* B72*10^(-6)*'Power Loss'!$B$71+'Power Loss'!$B$68*10^(-9)*'Power Loss'!$B$71*Vin^2*B72*1000/2</f>
        <v>0.17062398689406</v>
      </c>
      <c r="F41" s="157">
        <f>B72*'Power Loss'!$B$79*'Power Loss'!$B$49*10^(-6)*'Power Loss'!$B$54+B72*'Power Loss'!$B$80*'Power Loss'!$B$66*10^(-6)*'Power Loss'!$B$71+'Power Loss'!$B$80*'Power Loss'!$B$81*0.001</f>
        <v>3.1E-2</v>
      </c>
      <c r="G41" s="157">
        <f t="shared" si="2"/>
        <v>8.6329892423510027E-3</v>
      </c>
      <c r="H41" s="157">
        <f>(0.5*E72/SQRT(3))^2*'Power Loss'!$B$33/'Power Loss'!$B$31/1000</f>
        <v>2.9427664620535715E-5</v>
      </c>
    </row>
    <row r="42" spans="1:23" ht="13" customHeight="1">
      <c r="A42" s="152"/>
      <c r="B42" s="152"/>
      <c r="C42" s="152"/>
      <c r="D42" s="152"/>
      <c r="E42" s="152"/>
      <c r="F42" s="152"/>
      <c r="G42" s="152"/>
      <c r="H42" s="152"/>
      <c r="I42" s="106"/>
      <c r="J42" s="106"/>
      <c r="K42" s="106"/>
      <c r="L42" s="106"/>
      <c r="M42" s="106"/>
      <c r="N42" s="106"/>
      <c r="O42" s="17"/>
      <c r="P42" s="17"/>
      <c r="Q42" s="17"/>
      <c r="R42" s="17"/>
      <c r="S42" s="17"/>
      <c r="T42" s="17"/>
      <c r="U42" s="17"/>
      <c r="V42" s="17"/>
      <c r="W42" s="17"/>
    </row>
    <row r="43" spans="1:23" ht="13" customHeight="1">
      <c r="A43" s="152" t="s">
        <v>258</v>
      </c>
      <c r="B43" s="152" t="s">
        <v>259</v>
      </c>
      <c r="C43" s="152" t="s">
        <v>260</v>
      </c>
      <c r="D43" s="152" t="s">
        <v>116</v>
      </c>
      <c r="E43" s="152" t="s">
        <v>117</v>
      </c>
      <c r="F43" s="152" t="s">
        <v>118</v>
      </c>
      <c r="G43" s="152" t="s">
        <v>119</v>
      </c>
      <c r="H43" s="152"/>
      <c r="I43" s="95"/>
      <c r="J43" s="95"/>
      <c r="K43" s="95"/>
      <c r="L43" s="95"/>
      <c r="M43" s="106"/>
      <c r="N43" s="106"/>
      <c r="O43" s="17"/>
      <c r="P43" s="17"/>
      <c r="Q43" s="17"/>
      <c r="R43" s="17"/>
      <c r="S43" s="17"/>
      <c r="T43" s="17"/>
      <c r="U43" s="17"/>
      <c r="V43" s="17"/>
      <c r="W43" s="17"/>
    </row>
    <row r="44" spans="1:23" ht="13" customHeight="1">
      <c r="A44" s="152">
        <f>IF(OR('Power Loss'!$B$17="AP63206",'Power Loss'!$B$17="AP63356"), 0, IF(A13&gt;$E$9, 0, 2/((Vin-Vout)*Vout/(2*Vin*Lout*0.000001*($E$9-A13)))))</f>
        <v>3.9886222222222222E-6</v>
      </c>
      <c r="B44" s="158">
        <f t="shared" ref="B44:B72" si="5">1/(1000/(Fs*1000)+A44*1000)</f>
        <v>166.98331651131033</v>
      </c>
      <c r="C44" s="154">
        <f>Imin</f>
        <v>1E-3</v>
      </c>
      <c r="D44" s="152">
        <f t="shared" ref="D44:D53" si="6">Vout/Vin*(1+(Ron_l+DCR)/1000*A13/Vout)/(1-A13*(Ron_u-Ron_l)/1000/Vin)</f>
        <v>0.15625387054053461</v>
      </c>
      <c r="E44" s="152">
        <f t="shared" ref="E44:E54" si="7">(Vin-Vout)/Lout/10^(-6)*D44/Fs/10^3</f>
        <v>0.7031424174324058</v>
      </c>
      <c r="F44" s="152">
        <f>A13*SQRT(D44)*SQRT(1+1/3*(E44/2/A13)^2)</f>
        <v>8.0236751464225278E-2</v>
      </c>
      <c r="G44" s="152">
        <f>A13*SQRT(1-D44)*SQRT(1+1/3*(E44/2/A13)^2)</f>
        <v>0.18645062433217746</v>
      </c>
      <c r="H44" s="152"/>
      <c r="I44" s="95"/>
      <c r="J44" s="107" t="s">
        <v>120</v>
      </c>
      <c r="K44" s="95">
        <v>1</v>
      </c>
      <c r="L44" s="95" t="s">
        <v>5</v>
      </c>
      <c r="M44" s="106"/>
      <c r="N44" s="106"/>
      <c r="O44" s="17"/>
      <c r="P44" s="17"/>
      <c r="Q44" s="17"/>
      <c r="R44" s="17"/>
      <c r="S44" s="17"/>
      <c r="T44" s="17"/>
      <c r="U44" s="17"/>
      <c r="V44" s="17"/>
      <c r="W44" s="17"/>
    </row>
    <row r="45" spans="1:23" ht="13" customHeight="1">
      <c r="A45" s="152">
        <f>IF(OR('Power Loss'!$B$17="AP63206",'Power Loss'!$B$17="AP63356"), 0, IF(A14&gt;$E$9, 0, 2/((Vin-Vout)*Vout/(2*Vin*Lout*0.000001*($E$9-A14)))))</f>
        <v>3.9772558222222225E-6</v>
      </c>
      <c r="B45" s="158">
        <f t="shared" si="5"/>
        <v>167.30085339198686</v>
      </c>
      <c r="C45" s="154">
        <f>Imin+(Imax-Imin)*0.001</f>
        <v>1.9989999999999999E-3</v>
      </c>
      <c r="D45" s="152">
        <f t="shared" si="6"/>
        <v>0.15625773723245268</v>
      </c>
      <c r="E45" s="152">
        <f t="shared" si="7"/>
        <v>0.70315981754603707</v>
      </c>
      <c r="F45" s="152">
        <f t="shared" ref="F45:F72" si="8">A14*SQRT(D45)*SQRT(1+1/3*(E45/2/A14)^2)</f>
        <v>8.0242646900724496E-2</v>
      </c>
      <c r="G45" s="152">
        <f t="shared" ref="G45:G72" si="9">A14*SQRT(1-D45)*SQRT(1+1/3*(E45/2/A14)^2)</f>
        <v>0.18646158953069575</v>
      </c>
      <c r="H45" s="152"/>
      <c r="I45" s="95"/>
      <c r="J45" s="107" t="s">
        <v>121</v>
      </c>
      <c r="K45" s="95">
        <v>5</v>
      </c>
      <c r="L45" s="95" t="s">
        <v>122</v>
      </c>
      <c r="M45" s="106"/>
      <c r="N45" s="106"/>
      <c r="O45" s="17"/>
      <c r="P45" s="17"/>
      <c r="Q45" s="17"/>
      <c r="R45" s="17"/>
      <c r="S45" s="17"/>
      <c r="T45" s="17"/>
      <c r="U45" s="17"/>
      <c r="V45" s="17"/>
      <c r="W45" s="17"/>
    </row>
    <row r="46" spans="1:23" ht="13" customHeight="1">
      <c r="A46" s="152">
        <f>IF(OR('Power Loss'!$B$17="AP63206",'Power Loss'!$B$17="AP63356"), 0, IF(A15&gt;$E$9, 0, 2/((Vin-Vout)*Vout/(2*Vin*Lout*0.000001*($E$9-A15)))))</f>
        <v>3.965889422222222E-6</v>
      </c>
      <c r="B46" s="158">
        <f t="shared" si="5"/>
        <v>167.61960023515019</v>
      </c>
      <c r="C46" s="154">
        <f>Imin+(Imax-Imin)*0.002</f>
        <v>2.9980000000000002E-3</v>
      </c>
      <c r="D46" s="152">
        <f t="shared" si="6"/>
        <v>0.1562616039462838</v>
      </c>
      <c r="E46" s="152">
        <f t="shared" si="7"/>
        <v>0.70317721775827702</v>
      </c>
      <c r="F46" s="152">
        <f t="shared" si="8"/>
        <v>8.0250485517182973E-2</v>
      </c>
      <c r="G46" s="152">
        <f t="shared" si="9"/>
        <v>0.18647706975062381</v>
      </c>
      <c r="H46" s="152"/>
      <c r="I46" s="95"/>
      <c r="J46" s="95" t="s">
        <v>86</v>
      </c>
      <c r="K46" s="95">
        <v>80</v>
      </c>
      <c r="L46" s="95" t="s">
        <v>123</v>
      </c>
      <c r="M46" s="106"/>
      <c r="N46" s="106"/>
      <c r="O46" s="17"/>
      <c r="P46" s="17"/>
      <c r="Q46" s="17"/>
      <c r="R46" s="17"/>
      <c r="S46" s="17"/>
      <c r="T46" s="17"/>
      <c r="U46" s="17"/>
      <c r="V46" s="17"/>
      <c r="W46" s="17"/>
    </row>
    <row r="47" spans="1:23" s="39" customFormat="1" ht="13" customHeight="1">
      <c r="A47" s="152">
        <f>IF(OR('Power Loss'!$B$17="AP63206",'Power Loss'!$B$17="AP63356"), 0, IF(A16&gt;$E$9, 0, 2/((Vin-Vout)*Vout/(2*Vin*Lout*0.000001*($E$9-A16)))))</f>
        <v>3.9431566222222227E-6</v>
      </c>
      <c r="B47" s="158">
        <f t="shared" si="5"/>
        <v>168.26075157785212</v>
      </c>
      <c r="C47" s="154">
        <f>Imin+(Imax-Imin)*0.004</f>
        <v>4.9960000000000004E-3</v>
      </c>
      <c r="D47" s="152">
        <f t="shared" si="6"/>
        <v>0.15626933743968627</v>
      </c>
      <c r="E47" s="152">
        <f t="shared" si="7"/>
        <v>0.70321201847858827</v>
      </c>
      <c r="F47" s="152">
        <f t="shared" si="8"/>
        <v>8.0271990448746416E-2</v>
      </c>
      <c r="G47" s="152">
        <f t="shared" si="9"/>
        <v>0.18652157018190657</v>
      </c>
      <c r="H47" s="152"/>
      <c r="I47" s="106"/>
      <c r="J47" s="106"/>
      <c r="K47" s="106"/>
      <c r="L47" s="106"/>
      <c r="M47" s="106"/>
      <c r="N47" s="106"/>
      <c r="O47" s="16"/>
      <c r="P47" s="16"/>
      <c r="Q47" s="16"/>
      <c r="R47" s="16"/>
      <c r="S47" s="16"/>
      <c r="T47" s="16"/>
      <c r="U47" s="16"/>
      <c r="V47" s="16"/>
      <c r="W47" s="16"/>
    </row>
    <row r="48" spans="1:23" s="39" customFormat="1" ht="13" customHeight="1">
      <c r="A48" s="152">
        <f>IF(OR('Power Loss'!$B$17="AP63206",'Power Loss'!$B$17="AP63356"), 0, IF(A17&gt;$E$9, 0, 2/((Vin-Vout)*Vout/(2*Vin*Lout*0.000001*($E$9-A17)))))</f>
        <v>3.9204238222222225E-6</v>
      </c>
      <c r="B48" s="158">
        <f t="shared" si="5"/>
        <v>168.90682661037118</v>
      </c>
      <c r="C48" s="154">
        <f>Imin+(Imax-Imin)*0.006</f>
        <v>6.9940000000000002E-3</v>
      </c>
      <c r="D48" s="152">
        <f t="shared" si="6"/>
        <v>0.15627707102074356</v>
      </c>
      <c r="E48" s="152">
        <f t="shared" si="7"/>
        <v>0.70324681959334601</v>
      </c>
      <c r="F48" s="152">
        <f t="shared" si="8"/>
        <v>8.030126116915659E-2</v>
      </c>
      <c r="G48" s="152">
        <f t="shared" si="9"/>
        <v>0.18658411221123816</v>
      </c>
      <c r="H48" s="152"/>
      <c r="I48" s="106" t="s">
        <v>124</v>
      </c>
      <c r="J48" s="106"/>
      <c r="K48" s="106"/>
      <c r="L48" s="106"/>
      <c r="M48" s="106"/>
      <c r="N48" s="106"/>
      <c r="O48" s="16"/>
      <c r="P48" s="16"/>
      <c r="Q48" s="16"/>
      <c r="R48" s="16"/>
      <c r="S48" s="16"/>
      <c r="T48" s="16"/>
      <c r="U48" s="16"/>
      <c r="V48" s="16"/>
      <c r="W48" s="16"/>
    </row>
    <row r="49" spans="1:23" s="39" customFormat="1" ht="13" customHeight="1">
      <c r="A49" s="152">
        <f>IF(OR('Power Loss'!$B$17="AP63206",'Power Loss'!$B$17="AP63356"), 0, IF(A18&gt;$E$9, 0, 2/((Vin-Vout)*Vout/(2*Vin*Lout*0.000001*($E$9-A18)))))</f>
        <v>3.8976910222222223E-6</v>
      </c>
      <c r="B49" s="158">
        <f t="shared" si="5"/>
        <v>169.5578822681702</v>
      </c>
      <c r="C49" s="154">
        <f>Imin+(Imax-Imin)*0.008</f>
        <v>8.992E-3</v>
      </c>
      <c r="D49" s="152">
        <f t="shared" si="6"/>
        <v>0.15628480468945707</v>
      </c>
      <c r="E49" s="152">
        <f t="shared" si="7"/>
        <v>0.70328162110255688</v>
      </c>
      <c r="F49" s="152">
        <f t="shared" si="8"/>
        <v>8.0338290343106397E-2</v>
      </c>
      <c r="G49" s="152">
        <f t="shared" si="9"/>
        <v>0.18666467720791052</v>
      </c>
      <c r="H49" s="152"/>
      <c r="I49" s="106" t="s">
        <v>125</v>
      </c>
      <c r="J49" s="106"/>
      <c r="K49" s="106"/>
      <c r="L49" s="106"/>
      <c r="M49" s="106"/>
      <c r="N49" s="106"/>
      <c r="O49" s="16"/>
      <c r="P49" s="16"/>
      <c r="Q49" s="16"/>
      <c r="R49" s="16"/>
      <c r="S49" s="16"/>
      <c r="T49" s="16"/>
      <c r="U49" s="16"/>
      <c r="V49" s="16"/>
      <c r="W49" s="16"/>
    </row>
    <row r="50" spans="1:23" s="39" customFormat="1" ht="13" customHeight="1">
      <c r="A50" s="152">
        <f>IF(OR('Power Loss'!$B$17="AP63206",'Power Loss'!$B$17="AP63356"), 0, IF(A19&gt;$E$9, 0, 2/((Vin-Vout)*Vout/(2*Vin*Lout*0.000001*($E$9-A19)))))</f>
        <v>3.8749582222222221E-6</v>
      </c>
      <c r="B50" s="158">
        <f t="shared" si="5"/>
        <v>170.21397636794543</v>
      </c>
      <c r="C50" s="154">
        <f>Imin+(Imax-Imin)*0.01</f>
        <v>1.099E-2</v>
      </c>
      <c r="D50" s="152">
        <f t="shared" si="6"/>
        <v>0.15629253844582836</v>
      </c>
      <c r="E50" s="152">
        <f t="shared" si="7"/>
        <v>0.70331642300622765</v>
      </c>
      <c r="F50" s="152">
        <f t="shared" si="8"/>
        <v>8.0383068400911695E-2</v>
      </c>
      <c r="G50" s="152">
        <f t="shared" si="9"/>
        <v>0.18676324135201389</v>
      </c>
      <c r="H50" s="152"/>
      <c r="I50" s="93" t="s">
        <v>127</v>
      </c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</row>
    <row r="51" spans="1:23" s="39" customFormat="1" ht="13" customHeight="1">
      <c r="A51" s="152">
        <f>IF(OR('Power Loss'!$B$17="AP63206",'Power Loss'!$B$17="AP63356"), 0, IF(A20&gt;$E$9, 0, 2/((Vin-Vout)*Vout/(2*Vin*Lout*0.000001*($E$9-A20)))))</f>
        <v>3.7612942222222224E-6</v>
      </c>
      <c r="B51" s="158">
        <f t="shared" si="5"/>
        <v>173.57211095778479</v>
      </c>
      <c r="C51" s="154">
        <f>Imin+(Imax-Imin)*0.02</f>
        <v>2.0980000000000002E-2</v>
      </c>
      <c r="D51" s="152">
        <f t="shared" si="6"/>
        <v>0.15633120854260346</v>
      </c>
      <c r="E51" s="152">
        <f t="shared" si="7"/>
        <v>0.70349043844171555</v>
      </c>
      <c r="F51" s="152">
        <f t="shared" si="8"/>
        <v>8.0722702674758645E-2</v>
      </c>
      <c r="G51" s="152">
        <f t="shared" si="9"/>
        <v>0.18752485725309131</v>
      </c>
      <c r="H51" s="152"/>
      <c r="I51" s="93" t="s">
        <v>128</v>
      </c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</row>
    <row r="52" spans="1:23" s="39" customFormat="1" ht="13" customHeight="1">
      <c r="A52" s="152">
        <f>IF(OR('Power Loss'!$B$17="AP63206",'Power Loss'!$B$17="AP63356"), 0, IF(A21&gt;$E$9, 0, 2/((Vin-Vout)*Vout/(2*Vin*Lout*0.000001*($E$9-A21)))))</f>
        <v>3.5339662222222221E-6</v>
      </c>
      <c r="B52" s="158">
        <f t="shared" si="5"/>
        <v>180.70222329590575</v>
      </c>
      <c r="C52" s="154">
        <f>Imin+(Imax-Imin)*0.04</f>
        <v>4.0960000000000003E-2</v>
      </c>
      <c r="D52" s="152">
        <f t="shared" si="6"/>
        <v>0.15640855531134323</v>
      </c>
      <c r="E52" s="152">
        <f t="shared" si="7"/>
        <v>0.70383849890104455</v>
      </c>
      <c r="F52" s="152">
        <f t="shared" si="8"/>
        <v>8.1971509518323896E-2</v>
      </c>
      <c r="G52" s="152">
        <f t="shared" si="9"/>
        <v>0.1903701112882315</v>
      </c>
      <c r="H52" s="152"/>
      <c r="I52" s="16" t="s">
        <v>129</v>
      </c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</row>
    <row r="53" spans="1:23" s="39" customFormat="1" ht="13" customHeight="1">
      <c r="A53" s="152">
        <f>IF(OR('Power Loss'!$B$17="AP63206",'Power Loss'!$B$17="AP63356"), 0, IF(A22&gt;$E$9, 0, 2/((Vin-Vout)*Vout/(2*Vin*Lout*0.000001*($E$9-A22)))))</f>
        <v>3.3066382222222222E-6</v>
      </c>
      <c r="B53" s="158">
        <f t="shared" si="5"/>
        <v>188.4432211361937</v>
      </c>
      <c r="C53" s="154">
        <f>Imin+(Imax-Imin)*0.06</f>
        <v>6.0940000000000001E-2</v>
      </c>
      <c r="D53" s="152">
        <f t="shared" si="6"/>
        <v>0.15648591084824462</v>
      </c>
      <c r="E53" s="152">
        <f t="shared" si="7"/>
        <v>0.70418659881710077</v>
      </c>
      <c r="F53" s="152">
        <f t="shared" si="8"/>
        <v>8.3950238380409159E-2</v>
      </c>
      <c r="G53" s="152">
        <f t="shared" si="9"/>
        <v>0.19490836711646198</v>
      </c>
      <c r="H53" s="152"/>
      <c r="I53" s="16" t="s">
        <v>129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</row>
    <row r="54" spans="1:23" s="39" customFormat="1" ht="13" customHeight="1">
      <c r="A54" s="152">
        <f>IF(OR('Power Loss'!$B$17="AP63206",'Power Loss'!$B$17="AP63356"), 0, IF(A23&gt;$E$9, 0, 2/((Vin-Vout)*Vout/(2*Vin*Lout*0.000001*($E$9-A23)))))</f>
        <v>3.0793102222222224E-6</v>
      </c>
      <c r="B54" s="158">
        <f t="shared" si="5"/>
        <v>196.87712627296375</v>
      </c>
      <c r="C54" s="154">
        <f>Imin+(Imax-Imin)*0.08</f>
        <v>8.0920000000000006E-2</v>
      </c>
      <c r="D54" s="152">
        <f t="shared" ref="D54:D72" si="10">Vout/Vin*(1+(Ron_l+DCR)/1000*A24/Vout)/(1-A24*(Ron_u-Ron_l)/1000/Vin)</f>
        <v>0.15664064823249665</v>
      </c>
      <c r="E54" s="152">
        <f t="shared" si="7"/>
        <v>0.70488291704623496</v>
      </c>
      <c r="F54" s="152">
        <f t="shared" si="8"/>
        <v>8.6668306298063463E-2</v>
      </c>
      <c r="G54" s="152">
        <f t="shared" si="9"/>
        <v>0.20110108149566433</v>
      </c>
      <c r="H54" s="152"/>
      <c r="I54" s="16" t="s">
        <v>131</v>
      </c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</row>
    <row r="55" spans="1:23" s="39" customFormat="1" ht="13" customHeight="1">
      <c r="A55" s="152">
        <f>IF(OR('Power Loss'!$B$17="AP63206",'Power Loss'!$B$17="AP63356"), 0, IF(A24&gt;$E$9, 0, 2/((Vin-Vout)*Vout/(2*Vin*Lout*0.000001*($E$9-A24)))))</f>
        <v>2.8519822222222225E-6</v>
      </c>
      <c r="B55" s="158">
        <f t="shared" si="5"/>
        <v>206.10133223901158</v>
      </c>
      <c r="C55" s="154">
        <f>Imin+(Imax-Imin)*0.1</f>
        <v>0.1009</v>
      </c>
      <c r="D55" s="152">
        <f t="shared" si="10"/>
        <v>0.15683411931028721</v>
      </c>
      <c r="E55" s="152">
        <f t="shared" ref="E55:E71" si="11">(Vin-Vout)/Lout/10^(-6)*D55/Fs/10^3</f>
        <v>0.70575353689629239</v>
      </c>
      <c r="F55" s="152">
        <f t="shared" si="8"/>
        <v>9.0035910364811692E-2</v>
      </c>
      <c r="G55" s="152">
        <f t="shared" si="9"/>
        <v>0.20876226370742496</v>
      </c>
      <c r="H55" s="152"/>
      <c r="I55" s="16" t="s">
        <v>133</v>
      </c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</row>
    <row r="56" spans="1:23" s="39" customFormat="1" ht="13" customHeight="1">
      <c r="A56" s="152">
        <f>IF(OR('Power Loss'!$B$17="AP63206",'Power Loss'!$B$17="AP63356"), 0, IF(A25&gt;$E$9, 0, 2/((Vin-Vout)*Vout/(2*Vin*Lout*0.000001*($E$9-A25)))))</f>
        <v>2.2836622222222227E-6</v>
      </c>
      <c r="B56" s="158">
        <f t="shared" si="5"/>
        <v>233.44511031059614</v>
      </c>
      <c r="C56" s="154">
        <f>Imin+(Imax-Imin)*0.15</f>
        <v>0.15084999999999998</v>
      </c>
      <c r="D56" s="152">
        <f t="shared" si="10"/>
        <v>0.15702764524036958</v>
      </c>
      <c r="E56" s="152">
        <f t="shared" si="11"/>
        <v>0.70662440358166312</v>
      </c>
      <c r="F56" s="152">
        <f t="shared" si="8"/>
        <v>0.10053443336373249</v>
      </c>
      <c r="G56" s="152">
        <f t="shared" si="9"/>
        <v>0.23293429871889121</v>
      </c>
      <c r="H56" s="152"/>
      <c r="I56" s="16" t="s">
        <v>135</v>
      </c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</row>
    <row r="57" spans="1:23" s="39" customFormat="1" ht="13" customHeight="1">
      <c r="A57" s="152">
        <f>IF(OR('Power Loss'!$B$17="AP63206",'Power Loss'!$B$17="AP63356"), 0, IF(A26&gt;$E$9, 0, 2/((Vin-Vout)*Vout/(2*Vin*Lout*0.000001*($E$9-A26)))))</f>
        <v>1.7153422222222222E-6</v>
      </c>
      <c r="B57" s="158">
        <f t="shared" si="5"/>
        <v>269.15420981108963</v>
      </c>
      <c r="C57" s="154">
        <f>Imin+(Imax-Imin)*0.2</f>
        <v>0.20080000000000001</v>
      </c>
      <c r="D57" s="152">
        <f t="shared" si="10"/>
        <v>0.15722122604607439</v>
      </c>
      <c r="E57" s="152">
        <f t="shared" si="11"/>
        <v>0.70749551720733472</v>
      </c>
      <c r="F57" s="152">
        <f t="shared" si="8"/>
        <v>0.11356649870019565</v>
      </c>
      <c r="G57" s="152">
        <f t="shared" si="9"/>
        <v>0.26293684148863194</v>
      </c>
      <c r="H57" s="152"/>
      <c r="I57" s="16" t="s">
        <v>137</v>
      </c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  <row r="58" spans="1:23" s="39" customFormat="1" ht="13" customHeight="1">
      <c r="A58" s="152">
        <f>IF(OR('Power Loss'!$B$17="AP63206",'Power Loss'!$B$17="AP63356"), 0, IF(A27&gt;$E$9, 0, 2/((Vin-Vout)*Vout/(2*Vin*Lout*0.000001*($E$9-A27)))))</f>
        <v>1.1470222222222226E-6</v>
      </c>
      <c r="B58" s="158">
        <f t="shared" si="5"/>
        <v>317.76070500508416</v>
      </c>
      <c r="C58" s="154">
        <f>Imin+(Imax-Imin)*0.25</f>
        <v>0.25074999999999997</v>
      </c>
      <c r="D58" s="152">
        <f t="shared" si="10"/>
        <v>0.15760855237773991</v>
      </c>
      <c r="E58" s="152">
        <f t="shared" si="11"/>
        <v>0.7092384856998295</v>
      </c>
      <c r="F58" s="152">
        <f t="shared" si="8"/>
        <v>0.12851616280381703</v>
      </c>
      <c r="G58" s="152">
        <f t="shared" si="9"/>
        <v>0.29711517553186628</v>
      </c>
      <c r="H58" s="152"/>
      <c r="I58" s="16" t="s">
        <v>139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</row>
    <row r="59" spans="1:23" s="39" customFormat="1" ht="13" customHeight="1">
      <c r="A59" s="152">
        <f>IF(OR('Power Loss'!$B$17="AP63206",'Power Loss'!$B$17="AP63356"), 0, IF(A28&gt;$E$9, 0, 2/((Vin-Vout)*Vout/(2*Vin*Lout*0.000001*($E$9-A28)))))</f>
        <v>1.0382222222222658E-8</v>
      </c>
      <c r="B59" s="158">
        <f t="shared" si="5"/>
        <v>497.41784867885809</v>
      </c>
      <c r="C59" s="154">
        <f>Imin+(Imax-Imin)*0.35</f>
        <v>0.35064999999999996</v>
      </c>
      <c r="D59" s="152">
        <f t="shared" si="10"/>
        <v>0.15780229795042816</v>
      </c>
      <c r="E59" s="152">
        <f t="shared" si="11"/>
        <v>0.7101103407769267</v>
      </c>
      <c r="F59" s="152">
        <f t="shared" si="8"/>
        <v>0.16134968339748901</v>
      </c>
      <c r="G59" s="152">
        <f t="shared" si="9"/>
        <v>0.37275071228287454</v>
      </c>
      <c r="H59" s="152"/>
      <c r="I59" s="16" t="s">
        <v>141</v>
      </c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</row>
    <row r="60" spans="1:23" s="39" customFormat="1" ht="13" customHeight="1">
      <c r="A60" s="152">
        <f>IF(OR('Power Loss'!$B$17="AP63206",'Power Loss'!$B$17="AP63356"), 0, IF(A29&gt;$E$9, 0, 2/((Vin-Vout)*Vout/(2*Vin*Lout*0.000001*($E$9-A29)))))</f>
        <v>0</v>
      </c>
      <c r="B60" s="158">
        <f t="shared" si="5"/>
        <v>500</v>
      </c>
      <c r="C60" s="154">
        <f>Imin+(Imax-Imin)*0.4</f>
        <v>0.40060000000000001</v>
      </c>
      <c r="D60" s="152">
        <f t="shared" si="10"/>
        <v>0.15799609849219373</v>
      </c>
      <c r="E60" s="152">
        <f t="shared" si="11"/>
        <v>0.7109824432148717</v>
      </c>
      <c r="F60" s="152">
        <f t="shared" si="8"/>
        <v>0.17891563431759167</v>
      </c>
      <c r="G60" s="152">
        <f t="shared" si="9"/>
        <v>0.41303053802761708</v>
      </c>
      <c r="H60" s="152"/>
      <c r="I60" s="16" t="s">
        <v>143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</row>
    <row r="61" spans="1:23" s="39" customFormat="1" ht="13" customHeight="1">
      <c r="A61" s="152">
        <f>IF(OR('Power Loss'!$B$17="AP63206",'Power Loss'!$B$17="AP63356"), 0, IF(A30&gt;$E$9, 0, 2/((Vin-Vout)*Vout/(2*Vin*Lout*0.000001*($E$9-A30)))))</f>
        <v>0</v>
      </c>
      <c r="B61" s="158">
        <f t="shared" si="5"/>
        <v>500</v>
      </c>
      <c r="C61" s="154">
        <f>Imin+(Imax-Imin)*0.45</f>
        <v>0.45055000000000001</v>
      </c>
      <c r="D61" s="152">
        <f t="shared" si="10"/>
        <v>0.15818995402643352</v>
      </c>
      <c r="E61" s="152">
        <f t="shared" si="11"/>
        <v>0.71185479311895072</v>
      </c>
      <c r="F61" s="152">
        <f t="shared" si="8"/>
        <v>0.19695654185755726</v>
      </c>
      <c r="G61" s="152">
        <f t="shared" si="9"/>
        <v>0.45434736380150925</v>
      </c>
      <c r="H61" s="152"/>
      <c r="I61" s="16" t="s">
        <v>145</v>
      </c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</row>
    <row r="62" spans="1:23" s="39" customFormat="1" ht="13" customHeight="1">
      <c r="A62" s="152">
        <f>IF(OR('Power Loss'!$B$17="AP63206",'Power Loss'!$B$17="AP63356"), 0, IF(A31&gt;$E$9, 0, 2/((Vin-Vout)*Vout/(2*Vin*Lout*0.000001*($E$9-A31)))))</f>
        <v>0</v>
      </c>
      <c r="B62" s="158">
        <f t="shared" si="5"/>
        <v>500</v>
      </c>
      <c r="C62" s="154">
        <f>Imin+(Imax-Imin)*0.5</f>
        <v>0.50049999999999994</v>
      </c>
      <c r="D62" s="152">
        <f t="shared" si="10"/>
        <v>0.1583838645765577</v>
      </c>
      <c r="E62" s="152">
        <f t="shared" si="11"/>
        <v>0.71272739059450962</v>
      </c>
      <c r="F62" s="152">
        <f t="shared" si="8"/>
        <v>0.21535982687629393</v>
      </c>
      <c r="G62" s="152">
        <f t="shared" si="9"/>
        <v>0.49643941162017369</v>
      </c>
      <c r="H62" s="152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</row>
    <row r="63" spans="1:23" s="39" customFormat="1" ht="13" customHeight="1">
      <c r="A63" s="152">
        <f>IF(OR('Power Loss'!$B$17="AP63206",'Power Loss'!$B$17="AP63356"), 0, IF(A32&gt;$E$9, 0, 2/((Vin-Vout)*Vout/(2*Vin*Lout*0.000001*($E$9-A32)))))</f>
        <v>0</v>
      </c>
      <c r="B63" s="158">
        <f t="shared" si="5"/>
        <v>500</v>
      </c>
      <c r="C63" s="154">
        <f>Imin+(Imax-Imin)*0.55</f>
        <v>0.55044999999999999</v>
      </c>
      <c r="D63" s="152">
        <f t="shared" si="10"/>
        <v>0.15857783016598975</v>
      </c>
      <c r="E63" s="152">
        <f t="shared" si="11"/>
        <v>0.71360023574695386</v>
      </c>
      <c r="F63" s="152">
        <f t="shared" si="8"/>
        <v>0.23404623897423485</v>
      </c>
      <c r="G63" s="152">
        <f t="shared" si="9"/>
        <v>0.53912243683000649</v>
      </c>
      <c r="H63" s="152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</row>
    <row r="64" spans="1:23" s="39" customFormat="1" ht="13" customHeight="1">
      <c r="A64" s="152">
        <f>IF(OR('Power Loss'!$B$17="AP63206",'Power Loss'!$B$17="AP63356"), 0, IF(A33&gt;$E$9, 0, 2/((Vin-Vout)*Vout/(2*Vin*Lout*0.000001*($E$9-A33)))))</f>
        <v>0</v>
      </c>
      <c r="B64" s="158">
        <f t="shared" si="5"/>
        <v>500</v>
      </c>
      <c r="C64" s="154">
        <f>Imin+(Imax-Imin)*0.6</f>
        <v>0.60039999999999993</v>
      </c>
      <c r="D64" s="152">
        <f t="shared" si="10"/>
        <v>0.15877185081816639</v>
      </c>
      <c r="E64" s="152">
        <f t="shared" si="11"/>
        <v>0.71447332868174873</v>
      </c>
      <c r="F64" s="152">
        <f t="shared" si="8"/>
        <v>0.25295879642787406</v>
      </c>
      <c r="G64" s="152">
        <f t="shared" si="9"/>
        <v>0.58226398831878046</v>
      </c>
      <c r="H64" s="152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</row>
    <row r="65" spans="1:30" s="39" customFormat="1" ht="13" customHeight="1">
      <c r="A65" s="152">
        <f>IF(OR('Power Loss'!$B$17="AP63206",'Power Loss'!$B$17="AP63356"), 0, IF(A34&gt;$E$9, 0, 2/((Vin-Vout)*Vout/(2*Vin*Lout*0.000001*($E$9-A34)))))</f>
        <v>0</v>
      </c>
      <c r="B65" s="158">
        <f t="shared" si="5"/>
        <v>500</v>
      </c>
      <c r="C65" s="154">
        <f>Imin+(Imax-Imin)*0.65</f>
        <v>0.65034999999999998</v>
      </c>
      <c r="D65" s="152">
        <f t="shared" si="10"/>
        <v>0.15896592655653768</v>
      </c>
      <c r="E65" s="152">
        <f t="shared" si="11"/>
        <v>0.7153466695044195</v>
      </c>
      <c r="F65" s="152">
        <f t="shared" si="8"/>
        <v>0.2720556952082066</v>
      </c>
      <c r="G65" s="152">
        <f t="shared" si="9"/>
        <v>0.62576691028079146</v>
      </c>
      <c r="H65" s="152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</row>
    <row r="66" spans="1:30" s="39" customFormat="1" ht="13" customHeight="1">
      <c r="A66" s="152">
        <f>IF(OR('Power Loss'!$B$17="AP63206",'Power Loss'!$B$17="AP63356"), 0, IF(A35&gt;$E$9, 0, 2/((Vin-Vout)*Vout/(2*Vin*Lout*0.000001*($E$9-A35)))))</f>
        <v>0</v>
      </c>
      <c r="B66" s="158">
        <f t="shared" si="5"/>
        <v>500</v>
      </c>
      <c r="C66" s="154">
        <f>Imin+(Imax-Imin)*0.7</f>
        <v>0.70029999999999992</v>
      </c>
      <c r="D66" s="152">
        <f t="shared" si="10"/>
        <v>0.15916005740456698</v>
      </c>
      <c r="E66" s="152">
        <f t="shared" si="11"/>
        <v>0.71622025832055147</v>
      </c>
      <c r="F66" s="152">
        <f t="shared" si="8"/>
        <v>0.29130568750762204</v>
      </c>
      <c r="G66" s="152">
        <f t="shared" si="9"/>
        <v>0.66955859188083111</v>
      </c>
      <c r="H66" s="152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40"/>
      <c r="Y66" s="40"/>
      <c r="Z66" s="40"/>
      <c r="AA66" s="40"/>
      <c r="AB66" s="40"/>
      <c r="AC66" s="40"/>
      <c r="AD66" s="40"/>
    </row>
    <row r="67" spans="1:30" s="39" customFormat="1" ht="13" customHeight="1">
      <c r="A67" s="152">
        <f>IF(OR('Power Loss'!$B$17="AP63206",'Power Loss'!$B$17="AP63356"), 0, IF(A36&gt;$E$9, 0, 2/((Vin-Vout)*Vout/(2*Vin*Lout*0.000001*($E$9-A36)))))</f>
        <v>0</v>
      </c>
      <c r="B67" s="158">
        <f t="shared" si="5"/>
        <v>500</v>
      </c>
      <c r="C67" s="154">
        <f>Imin+(Imax-Imin)*0.75</f>
        <v>0.75024999999999997</v>
      </c>
      <c r="D67" s="152">
        <f t="shared" si="10"/>
        <v>0.15935424338573109</v>
      </c>
      <c r="E67" s="152">
        <f t="shared" si="11"/>
        <v>0.71709409523578982</v>
      </c>
      <c r="F67" s="152">
        <f t="shared" si="8"/>
        <v>0.31068501245644548</v>
      </c>
      <c r="G67" s="152">
        <f t="shared" si="9"/>
        <v>0.71358382874995241</v>
      </c>
      <c r="H67" s="152"/>
      <c r="I67" s="31" t="s">
        <v>130</v>
      </c>
      <c r="J67" s="31" t="s">
        <v>132</v>
      </c>
      <c r="K67" s="31" t="s">
        <v>134</v>
      </c>
      <c r="L67" s="31" t="s">
        <v>136</v>
      </c>
      <c r="M67" s="31" t="s">
        <v>138</v>
      </c>
      <c r="N67" s="31" t="s">
        <v>140</v>
      </c>
      <c r="O67" s="31" t="s">
        <v>142</v>
      </c>
      <c r="P67" s="31" t="s">
        <v>144</v>
      </c>
      <c r="Q67" s="31" t="s">
        <v>41</v>
      </c>
      <c r="R67" s="31"/>
      <c r="S67" s="31"/>
      <c r="T67" s="31"/>
      <c r="U67" s="31"/>
      <c r="V67" s="31"/>
      <c r="W67" s="31"/>
      <c r="X67" s="40"/>
      <c r="Y67" s="40"/>
      <c r="Z67" s="40"/>
      <c r="AA67" s="40"/>
      <c r="AB67" s="40"/>
      <c r="AC67" s="40"/>
      <c r="AD67" s="40"/>
    </row>
    <row r="68" spans="1:30" s="39" customFormat="1" ht="13" customHeight="1">
      <c r="A68" s="152">
        <f>IF(OR('Power Loss'!$B$17="AP63206",'Power Loss'!$B$17="AP63356"), 0, IF(A37&gt;$E$9, 0, 2/((Vin-Vout)*Vout/(2*Vin*Lout*0.000001*($E$9-A37)))))</f>
        <v>0</v>
      </c>
      <c r="B68" s="158">
        <f t="shared" si="5"/>
        <v>500</v>
      </c>
      <c r="C68" s="154">
        <f>Imin+(Imax-Imin)*0.8</f>
        <v>0.80020000000000002</v>
      </c>
      <c r="D68" s="152">
        <f t="shared" si="10"/>
        <v>0.15954848452351988</v>
      </c>
      <c r="E68" s="152">
        <f t="shared" si="11"/>
        <v>0.71796818035583942</v>
      </c>
      <c r="F68" s="152">
        <f t="shared" si="8"/>
        <v>0.33017531791852367</v>
      </c>
      <c r="G68" s="152">
        <f t="shared" si="9"/>
        <v>0.75779999017178545</v>
      </c>
      <c r="H68" s="152"/>
      <c r="I68" s="31">
        <f>2*Ron_u*0.001*'Efficiency Summary'!B68*'Efficiency Summary'!$B$44*Vout/(3*Vin)</f>
        <v>1699.7462531233998</v>
      </c>
      <c r="J68" s="94">
        <f>+B68*(Vout*(Vin-Vout)/('Efficiency Summary'!$B$44*Lout*0.000001))*'Power Loss'!$B$53*0.000000001</f>
        <v>0.40423200000000004</v>
      </c>
      <c r="K68" s="31">
        <f>+'Power Loss'!$B$50*0.000000001*Vin^2*2*'Efficiency Summary'!B68*Vout*(Vin-Vout)/(Lout*0.000001*'Power Loss'!$B$79*'Efficiency Summary'!$B$44^2)</f>
        <v>1.2683681437969814E-2</v>
      </c>
      <c r="L68" s="31">
        <f>2*Ron_l*0.001*'Efficiency Summary'!$B$46*'Efficiency Summary'!$B$44*(Vin-Vout)/(3*Vin)</f>
        <v>1648.0234208292234</v>
      </c>
      <c r="M68" s="31">
        <f>+'Power Loss'!$B$67*0.000000001*Vin^2*2*'Efficiency Summary'!B68*Vout*(Vin-Vout)/(Lout*0.000001*'Power Loss'!$B$79*'Efficiency Summary'!$B$44^2)</f>
        <v>2.3681793779302924E-2</v>
      </c>
      <c r="N68" s="31">
        <f>+$K$44*$K$45*0.000000001*2*B68*Vout*(Vin-Vout)/('Efficiency Summary'!$B$44^2*Lout*0.000001*Vin)</f>
        <v>6.3041477555555574E-5</v>
      </c>
      <c r="O68" s="31">
        <f>+ESR*0.001*B68*$B$44/(6*ncap)</f>
        <v>9.9394831256732346</v>
      </c>
      <c r="P68" s="31">
        <f>+$K$46*0.000001*(1+20*B68)*Vin</f>
        <v>25.602559999999997</v>
      </c>
      <c r="Q68" s="94">
        <f>+B68*Vout*100/(Vout*'Efficiency Summary'!B68+SUM('Efficiency Summary'!G68:P68))</f>
        <v>42.484419680720642</v>
      </c>
      <c r="R68" s="31"/>
      <c r="S68" s="31"/>
      <c r="T68" s="31"/>
      <c r="U68" s="31"/>
      <c r="V68" s="31"/>
      <c r="W68" s="31"/>
      <c r="X68" s="40"/>
      <c r="Y68" s="40"/>
      <c r="Z68" s="40"/>
      <c r="AA68" s="40"/>
      <c r="AB68" s="40"/>
      <c r="AC68" s="40"/>
      <c r="AD68" s="40"/>
    </row>
    <row r="69" spans="1:30" s="39" customFormat="1" ht="13" customHeight="1">
      <c r="A69" s="152">
        <f>IF(OR('Power Loss'!$B$17="AP63206",'Power Loss'!$B$17="AP63356"), 0, IF(A38&gt;$E$9, 0, 2/((Vin-Vout)*Vout/(2*Vin*Lout*0.000001*($E$9-A38)))))</f>
        <v>0</v>
      </c>
      <c r="B69" s="158">
        <f t="shared" si="5"/>
        <v>500</v>
      </c>
      <c r="C69" s="154">
        <f>Imin+(Imax-Imin)*0.85</f>
        <v>0.85014999999999996</v>
      </c>
      <c r="D69" s="152">
        <f t="shared" si="10"/>
        <v>0.15974278084143687</v>
      </c>
      <c r="E69" s="152">
        <f t="shared" si="11"/>
        <v>0.7188425137864658</v>
      </c>
      <c r="F69" s="152">
        <f t="shared" si="8"/>
        <v>0.34976222654908135</v>
      </c>
      <c r="G69" s="152">
        <f t="shared" si="9"/>
        <v>0.8021736848598725</v>
      </c>
      <c r="H69" s="152"/>
      <c r="I69" s="31">
        <f>2*Ron_u*0.001*'Efficiency Summary'!B69*'Efficiency Summary'!$B$44*Vout/(3*Vin)</f>
        <v>1699.7462531233998</v>
      </c>
      <c r="J69" s="94">
        <f>+B69*(Vout*(Vin-Vout)/('Efficiency Summary'!$B$44*Lout*0.000001))*'Power Loss'!$B$53*0.000000001</f>
        <v>0.40423200000000004</v>
      </c>
      <c r="K69" s="31">
        <f>+'Power Loss'!$B$50*0.000000001*Vin^2*2*'Efficiency Summary'!B69*Vout*(Vin-Vout)/(Lout*0.000001*'Power Loss'!$B$79*'Efficiency Summary'!$B$44^2)</f>
        <v>1.2683681437969814E-2</v>
      </c>
      <c r="L69" s="31">
        <f>2*Ron_l*0.001*'Efficiency Summary'!$B$46*'Efficiency Summary'!$B$44*(Vin-Vout)/(3*Vin)</f>
        <v>1648.0234208292234</v>
      </c>
      <c r="M69" s="31">
        <f>+'Power Loss'!$B$67*0.000000001*Vin^2*2*'Efficiency Summary'!B69*Vout*(Vin-Vout)/(Lout*0.000001*'Power Loss'!$B$79*'Efficiency Summary'!$B$44^2)</f>
        <v>2.3681793779302924E-2</v>
      </c>
      <c r="N69" s="31">
        <f>+$K$44*$K$45*0.000000001*2*B69*Vout*(Vin-Vout)/('Efficiency Summary'!$B$44^2*Lout*0.000001*Vin)</f>
        <v>6.3041477555555574E-5</v>
      </c>
      <c r="O69" s="31">
        <f>+ESR*0.001*B69*$B$44/(6*ncap)</f>
        <v>9.9394831256732346</v>
      </c>
      <c r="P69" s="31">
        <f>+$K$46*0.000001*(1+20*B69)*Vin</f>
        <v>25.602559999999997</v>
      </c>
      <c r="Q69" s="94">
        <f>+B69*Vout*100/(Vout*'Efficiency Summary'!B69+SUM('Efficiency Summary'!G69:P69))</f>
        <v>42.484099318210362</v>
      </c>
      <c r="R69" s="31"/>
      <c r="S69" s="31"/>
      <c r="T69" s="31"/>
      <c r="U69" s="31"/>
      <c r="V69" s="31"/>
      <c r="W69" s="31"/>
      <c r="X69" s="40"/>
      <c r="Y69" s="40"/>
      <c r="Z69" s="40"/>
      <c r="AA69" s="40"/>
      <c r="AB69" s="40"/>
      <c r="AC69" s="40"/>
      <c r="AD69" s="40"/>
    </row>
    <row r="70" spans="1:30" s="39" customFormat="1" ht="13" customHeight="1">
      <c r="A70" s="152">
        <f>IF(OR('Power Loss'!$B$17="AP63206",'Power Loss'!$B$17="AP63356"), 0, IF(A39&gt;$E$9, 0, 2/((Vin-Vout)*Vout/(2*Vin*Lout*0.000001*($E$9-A39)))))</f>
        <v>0</v>
      </c>
      <c r="B70" s="158">
        <f t="shared" si="5"/>
        <v>500</v>
      </c>
      <c r="C70" s="154">
        <f>Imin+(Imax-Imin)*0.9</f>
        <v>0.90010000000000001</v>
      </c>
      <c r="D70" s="152">
        <f t="shared" si="10"/>
        <v>0.15993713236299878</v>
      </c>
      <c r="E70" s="152">
        <f t="shared" si="11"/>
        <v>0.71971709563349451</v>
      </c>
      <c r="F70" s="152">
        <f t="shared" si="8"/>
        <v>0.36943432847049584</v>
      </c>
      <c r="G70" s="152">
        <f t="shared" si="9"/>
        <v>0.84667841893669782</v>
      </c>
      <c r="H70" s="152"/>
      <c r="I70" s="31">
        <f>2*Ron_u*0.001*'Efficiency Summary'!B70*'Efficiency Summary'!$B$44*Vout/(3*Vin)</f>
        <v>1699.7462531233998</v>
      </c>
      <c r="J70" s="94">
        <f>+B70*(Vout*(Vin-Vout)/('Efficiency Summary'!$B$44*Lout*0.000001))*'Power Loss'!$B$53*0.000000001</f>
        <v>0.40423200000000004</v>
      </c>
      <c r="K70" s="31">
        <f>+'Power Loss'!$B$50*0.000000001*Vin^2*2*'Efficiency Summary'!B70*Vout*(Vin-Vout)/(Lout*0.000001*'Power Loss'!$B$79*'Efficiency Summary'!$B$44^2)</f>
        <v>1.2683681437969814E-2</v>
      </c>
      <c r="L70" s="31">
        <f>2*Ron_l*0.001*'Efficiency Summary'!$B$46*'Efficiency Summary'!$B$44*(Vin-Vout)/(3*Vin)</f>
        <v>1648.0234208292234</v>
      </c>
      <c r="M70" s="31">
        <f>+'Power Loss'!$B$67*0.000000001*Vin^2*2*'Efficiency Summary'!B70*Vout*(Vin-Vout)/(Lout*0.000001*'Power Loss'!$B$79*'Efficiency Summary'!$B$44^2)</f>
        <v>2.3681793779302924E-2</v>
      </c>
      <c r="N70" s="31">
        <f>+$K$44*$K$45*0.000000001*2*B70*Vout*(Vin-Vout)/('Efficiency Summary'!$B$44^2*Lout*0.000001*Vin)</f>
        <v>6.3041477555555574E-5</v>
      </c>
      <c r="O70" s="31">
        <f>+ESR*0.001*B70*$B$44/(6*ncap)</f>
        <v>9.9394831256732346</v>
      </c>
      <c r="P70" s="31">
        <f>+$K$46*0.000001*(1+20*B70)*Vin</f>
        <v>25.602559999999997</v>
      </c>
      <c r="Q70" s="94">
        <f>+B70*Vout*100/(Vout*'Efficiency Summary'!B70+SUM('Efficiency Summary'!G70:P70))</f>
        <v>42.483778014494568</v>
      </c>
      <c r="R70" s="31"/>
      <c r="S70" s="31"/>
      <c r="T70" s="31"/>
      <c r="U70" s="31"/>
      <c r="V70" s="31"/>
      <c r="W70" s="31"/>
      <c r="X70" s="40"/>
      <c r="Y70" s="40"/>
      <c r="Z70" s="40"/>
      <c r="AA70" s="40"/>
      <c r="AB70" s="40"/>
      <c r="AC70" s="40"/>
      <c r="AD70" s="40"/>
    </row>
    <row r="71" spans="1:30" s="39" customFormat="1" ht="13" customHeight="1">
      <c r="A71" s="152">
        <f>IF(OR('Power Loss'!$B$17="AP63206",'Power Loss'!$B$17="AP63356"), 0, IF(A40&gt;$E$9, 0, 2/((Vin-Vout)*Vout/(2*Vin*Lout*0.000001*($E$9-A40)))))</f>
        <v>0</v>
      </c>
      <c r="B71" s="158">
        <f t="shared" si="5"/>
        <v>500</v>
      </c>
      <c r="C71" s="154">
        <f>Imin+(Imax-Imin)*0.95</f>
        <v>0.95004999999999995</v>
      </c>
      <c r="D71" s="152">
        <f t="shared" si="10"/>
        <v>0.16013153911173567</v>
      </c>
      <c r="E71" s="152">
        <f t="shared" si="11"/>
        <v>0.72059192600281052</v>
      </c>
      <c r="F71" s="152">
        <f t="shared" si="8"/>
        <v>0.38918246162007764</v>
      </c>
      <c r="G71" s="152">
        <f t="shared" si="9"/>
        <v>0.89129292288545992</v>
      </c>
      <c r="H71" s="152"/>
      <c r="I71" s="31">
        <f>2*Ron_u*0.001*'Efficiency Summary'!B71*'Efficiency Summary'!$B$44*Vout/(3*Vin)</f>
        <v>1699.7462531233998</v>
      </c>
      <c r="J71" s="94">
        <f>+B71*(Vout*(Vin-Vout)/('Efficiency Summary'!$B$44*Lout*0.000001))*'Power Loss'!$B$53*0.000000001</f>
        <v>0.40423200000000004</v>
      </c>
      <c r="K71" s="31">
        <f>+'Power Loss'!$B$50*0.000000001*Vin^2*2*'Efficiency Summary'!B71*Vout*(Vin-Vout)/(Lout*0.000001*'Power Loss'!$B$79*'Efficiency Summary'!$B$44^2)</f>
        <v>1.2683681437969814E-2</v>
      </c>
      <c r="L71" s="31">
        <f>2*Ron_l*0.001*'Efficiency Summary'!$B$46*'Efficiency Summary'!$B$44*(Vin-Vout)/(3*Vin)</f>
        <v>1648.0234208292234</v>
      </c>
      <c r="M71" s="31">
        <f>+'Power Loss'!$B$67*0.000000001*Vin^2*2*'Efficiency Summary'!B71*Vout*(Vin-Vout)/(Lout*0.000001*'Power Loss'!$B$79*'Efficiency Summary'!$B$44^2)</f>
        <v>2.3681793779302924E-2</v>
      </c>
      <c r="N71" s="31">
        <f>+$K$44*$K$45*0.000000001*2*B71*Vout*(Vin-Vout)/('Efficiency Summary'!$B$44^2*Lout*0.000001*Vin)</f>
        <v>6.3041477555555574E-5</v>
      </c>
      <c r="O71" s="31">
        <f>+ESR*0.001*B71*$B$44/(6*ncap)</f>
        <v>9.9394831256732346</v>
      </c>
      <c r="P71" s="31">
        <f>+$K$46*0.000001*(1+20*B71)*Vin</f>
        <v>25.602559999999997</v>
      </c>
      <c r="Q71" s="94">
        <f>+B71*Vout*100/(Vout*'Efficiency Summary'!B71+SUM('Efficiency Summary'!G71:P71))</f>
        <v>42.483455923168719</v>
      </c>
      <c r="R71" s="31"/>
      <c r="S71" s="31"/>
      <c r="T71" s="31"/>
      <c r="U71" s="31"/>
      <c r="V71" s="31"/>
      <c r="W71" s="31"/>
      <c r="X71" s="40"/>
      <c r="Y71" s="40"/>
      <c r="Z71" s="40"/>
      <c r="AA71" s="40"/>
      <c r="AB71" s="40"/>
      <c r="AC71" s="40"/>
      <c r="AD71" s="40"/>
    </row>
    <row r="72" spans="1:30" s="39" customFormat="1" ht="13" customHeight="1">
      <c r="A72" s="152">
        <f>IF(OR('Power Loss'!$B$17="AP63206",'Power Loss'!$B$17="AP63356"), 0, IF(A41&gt;$E$9, 0, 2/((Vin-Vout)*Vout/(2*Vin*Lout*0.000001*($E$9-A41)))))</f>
        <v>0</v>
      </c>
      <c r="B72" s="158">
        <f t="shared" si="5"/>
        <v>500</v>
      </c>
      <c r="C72" s="154">
        <f>Imin+(Imax-Imin)*1</f>
        <v>1</v>
      </c>
      <c r="D72" s="152">
        <f t="shared" si="10"/>
        <v>0.15625</v>
      </c>
      <c r="E72" s="152">
        <f>(Vin-Vout)/Lout/10^(-6)*D72/Fs/10^3</f>
        <v>0.703125</v>
      </c>
      <c r="F72" s="152">
        <f t="shared" si="8"/>
        <v>0.40334513959603158</v>
      </c>
      <c r="G72" s="152">
        <f t="shared" si="9"/>
        <v>0.93728940505748159</v>
      </c>
      <c r="H72" s="152"/>
      <c r="I72" s="31">
        <f>2*Ron_u*0.001*'Efficiency Summary'!B72*'Efficiency Summary'!$B$44*Vout/(3*Vin)</f>
        <v>1699.7462531233998</v>
      </c>
      <c r="J72" s="94">
        <f>+B72*(Vout*(Vin-Vout)/('Efficiency Summary'!$B$44*Lout*0.000001))*'Power Loss'!$B$53*0.000000001</f>
        <v>0.40423200000000004</v>
      </c>
      <c r="K72" s="31">
        <f>+'Power Loss'!$B$50*0.000000001*Vin^2*2*'Efficiency Summary'!B72*Vout*(Vin-Vout)/(Lout*0.000001*'Power Loss'!$B$79*'Efficiency Summary'!$B$44^2)</f>
        <v>1.2683681437969814E-2</v>
      </c>
      <c r="L72" s="31">
        <f>2*Ron_l*0.001*'Efficiency Summary'!$B$46*'Efficiency Summary'!$B$44*(Vin-Vout)/(3*Vin)</f>
        <v>1648.0234208292234</v>
      </c>
      <c r="M72" s="31">
        <f>+'Power Loss'!$B$67*0.000000001*Vin^2*2*'Efficiency Summary'!B72*Vout*(Vin-Vout)/(Lout*0.000001*'Power Loss'!$B$79*'Efficiency Summary'!$B$44^2)</f>
        <v>2.3681793779302924E-2</v>
      </c>
      <c r="N72" s="31">
        <f>+$K$44*$K$45*0.000000001*2*B72*Vout*(Vin-Vout)/('Efficiency Summary'!$B$44^2*Lout*0.000001*Vin)</f>
        <v>6.3041477555555574E-5</v>
      </c>
      <c r="O72" s="31">
        <f>+ESR*0.001*B72*$B$44/(6*ncap)</f>
        <v>9.9394831256732346</v>
      </c>
      <c r="P72" s="31">
        <f>+$K$46*0.000001*(1+20*B72)*Vin</f>
        <v>25.602559999999997</v>
      </c>
      <c r="Q72" s="94">
        <f>+B72*Vout*100/(Vout*'Efficiency Summary'!B72+SUM('Efficiency Summary'!G72:P72))</f>
        <v>42.483123859859766</v>
      </c>
      <c r="R72" s="31"/>
      <c r="S72" s="31"/>
      <c r="T72" s="31"/>
      <c r="U72" s="31"/>
      <c r="V72" s="31"/>
      <c r="W72" s="31"/>
      <c r="X72" s="40"/>
      <c r="Y72" s="40"/>
      <c r="Z72" s="40"/>
      <c r="AA72" s="40"/>
      <c r="AB72" s="40"/>
      <c r="AC72" s="40"/>
      <c r="AD72" s="40"/>
    </row>
    <row r="73" spans="1:30" s="39" customFormat="1" ht="13" customHeight="1">
      <c r="A73" s="31"/>
      <c r="B73" s="31"/>
      <c r="C73" s="94"/>
      <c r="D73" s="94"/>
      <c r="E73" s="94"/>
      <c r="F73" s="94"/>
      <c r="G73" s="94"/>
      <c r="H73" s="94"/>
      <c r="I73" s="31"/>
      <c r="J73" s="94"/>
      <c r="K73" s="31"/>
      <c r="L73" s="31"/>
      <c r="M73" s="31"/>
      <c r="N73" s="31"/>
      <c r="O73" s="31"/>
      <c r="P73" s="31"/>
      <c r="Q73" s="94"/>
      <c r="R73" s="31"/>
      <c r="S73" s="31"/>
      <c r="T73" s="31"/>
      <c r="U73" s="31"/>
      <c r="V73" s="31"/>
      <c r="W73" s="31"/>
      <c r="X73" s="40"/>
      <c r="Y73" s="40"/>
      <c r="Z73" s="40"/>
      <c r="AA73" s="40"/>
      <c r="AB73" s="40"/>
      <c r="AC73" s="40"/>
      <c r="AD73" s="40"/>
    </row>
    <row r="74" spans="1:30" s="39" customFormat="1" ht="13" customHeight="1">
      <c r="A74" s="31"/>
      <c r="B74" s="31"/>
      <c r="C74" s="94"/>
      <c r="D74" s="94"/>
      <c r="E74" s="94"/>
      <c r="F74" s="94"/>
      <c r="G74" s="94"/>
      <c r="H74" s="94"/>
      <c r="I74" s="31"/>
      <c r="J74" s="94"/>
      <c r="K74" s="31"/>
      <c r="L74" s="31"/>
      <c r="M74" s="31"/>
      <c r="N74" s="31"/>
      <c r="O74" s="31"/>
      <c r="P74" s="31"/>
      <c r="Q74" s="94"/>
      <c r="R74" s="31"/>
      <c r="S74" s="31"/>
      <c r="T74" s="31"/>
      <c r="U74" s="31"/>
      <c r="V74" s="31"/>
      <c r="W74" s="31"/>
      <c r="X74" s="40"/>
      <c r="Y74" s="40"/>
      <c r="Z74" s="40"/>
      <c r="AA74" s="40"/>
      <c r="AB74" s="40"/>
      <c r="AC74" s="40"/>
      <c r="AD74" s="40"/>
    </row>
    <row r="75" spans="1:30" s="39" customFormat="1" ht="13" customHeight="1">
      <c r="A75" s="31"/>
      <c r="B75" s="31"/>
      <c r="C75" s="94"/>
      <c r="D75" s="94"/>
      <c r="E75" s="94"/>
      <c r="F75" s="94"/>
      <c r="G75" s="94"/>
      <c r="H75" s="94"/>
      <c r="I75" s="31"/>
      <c r="J75" s="94"/>
      <c r="K75" s="31"/>
      <c r="L75" s="31"/>
      <c r="M75" s="31"/>
      <c r="N75" s="31"/>
      <c r="O75" s="31"/>
      <c r="P75" s="31"/>
      <c r="Q75" s="94"/>
      <c r="R75" s="31"/>
      <c r="S75" s="31"/>
      <c r="T75" s="31"/>
      <c r="U75" s="31"/>
      <c r="V75" s="31"/>
      <c r="W75" s="31"/>
      <c r="X75" s="40"/>
      <c r="Y75" s="40"/>
      <c r="Z75" s="40"/>
      <c r="AA75" s="40"/>
      <c r="AB75" s="40"/>
      <c r="AC75" s="40"/>
      <c r="AD75" s="40"/>
    </row>
    <row r="76" spans="1:30" s="39" customFormat="1" ht="13" customHeight="1">
      <c r="A76" s="31"/>
      <c r="B76" s="31"/>
      <c r="C76" s="94"/>
      <c r="D76" s="94"/>
      <c r="E76" s="94"/>
      <c r="F76" s="94"/>
      <c r="G76" s="94"/>
      <c r="H76" s="94"/>
      <c r="I76" s="31"/>
      <c r="J76" s="94"/>
      <c r="K76" s="31"/>
      <c r="L76" s="31"/>
      <c r="M76" s="31"/>
      <c r="N76" s="31"/>
      <c r="O76" s="31"/>
      <c r="P76" s="31"/>
      <c r="Q76" s="94"/>
      <c r="R76" s="31"/>
      <c r="S76" s="31"/>
      <c r="T76" s="31"/>
      <c r="U76" s="31"/>
      <c r="V76" s="31"/>
      <c r="W76" s="31"/>
      <c r="X76" s="40"/>
      <c r="Y76" s="40"/>
      <c r="Z76" s="40"/>
      <c r="AA76" s="40"/>
      <c r="AB76" s="40"/>
      <c r="AC76" s="40"/>
      <c r="AD76" s="40"/>
    </row>
    <row r="77" spans="1:30" s="39" customFormat="1" ht="13" customHeight="1">
      <c r="A77" s="31"/>
      <c r="B77" s="31"/>
      <c r="C77" s="94"/>
      <c r="D77" s="94"/>
      <c r="E77" s="94"/>
      <c r="F77" s="94"/>
      <c r="G77" s="94"/>
      <c r="H77" s="94"/>
      <c r="I77" s="31"/>
      <c r="J77" s="94"/>
      <c r="K77" s="31"/>
      <c r="L77" s="31"/>
      <c r="M77" s="31"/>
      <c r="N77" s="31"/>
      <c r="O77" s="31"/>
      <c r="P77" s="31"/>
      <c r="Q77" s="94"/>
      <c r="R77" s="31"/>
      <c r="S77" s="31"/>
      <c r="T77" s="31"/>
      <c r="U77" s="31"/>
      <c r="V77" s="31"/>
      <c r="W77" s="31"/>
      <c r="X77" s="40"/>
      <c r="Y77" s="40"/>
      <c r="Z77" s="40"/>
      <c r="AA77" s="40"/>
      <c r="AB77" s="40"/>
      <c r="AC77" s="40"/>
      <c r="AD77" s="40"/>
    </row>
    <row r="78" spans="1:30" s="39" customFormat="1" ht="13" customHeight="1">
      <c r="A78" s="31"/>
      <c r="B78" s="31"/>
      <c r="C78" s="94"/>
      <c r="D78" s="94"/>
      <c r="E78" s="94"/>
      <c r="F78" s="94"/>
      <c r="G78" s="94"/>
      <c r="H78" s="94"/>
      <c r="I78" s="31"/>
      <c r="J78" s="94"/>
      <c r="K78" s="31"/>
      <c r="L78" s="31"/>
      <c r="M78" s="31"/>
      <c r="N78" s="31"/>
      <c r="O78" s="31"/>
      <c r="P78" s="31"/>
      <c r="Q78" s="94"/>
      <c r="R78" s="31"/>
      <c r="S78" s="31"/>
      <c r="T78" s="31"/>
      <c r="U78" s="31"/>
      <c r="V78" s="31"/>
      <c r="W78" s="31"/>
      <c r="X78" s="40"/>
      <c r="Y78" s="40"/>
      <c r="Z78" s="40"/>
      <c r="AA78" s="40"/>
      <c r="AB78" s="40"/>
      <c r="AC78" s="40"/>
      <c r="AD78" s="40"/>
    </row>
    <row r="79" spans="1:30" s="39" customFormat="1" ht="13" customHeight="1">
      <c r="A79" s="31"/>
      <c r="B79" s="31"/>
      <c r="C79" s="94"/>
      <c r="D79" s="94"/>
      <c r="E79" s="94"/>
      <c r="F79" s="94"/>
      <c r="G79" s="94"/>
      <c r="H79" s="94"/>
      <c r="I79" s="31"/>
      <c r="J79" s="94"/>
      <c r="K79" s="31"/>
      <c r="L79" s="31"/>
      <c r="M79" s="31"/>
      <c r="N79" s="31"/>
      <c r="O79" s="31"/>
      <c r="P79" s="31"/>
      <c r="Q79" s="94"/>
      <c r="R79" s="31"/>
      <c r="S79" s="31"/>
      <c r="T79" s="31"/>
      <c r="U79" s="31"/>
      <c r="V79" s="31"/>
      <c r="W79" s="31"/>
      <c r="X79" s="40"/>
      <c r="Y79" s="40"/>
      <c r="Z79" s="40"/>
      <c r="AA79" s="40"/>
      <c r="AB79" s="40"/>
      <c r="AC79" s="40"/>
      <c r="AD79" s="40"/>
    </row>
    <row r="80" spans="1:30" s="39" customFormat="1" ht="13" customHeight="1">
      <c r="A80" s="31"/>
      <c r="B80" s="31"/>
      <c r="C80" s="94"/>
      <c r="D80" s="94"/>
      <c r="E80" s="94"/>
      <c r="F80" s="94"/>
      <c r="G80" s="94"/>
      <c r="H80" s="94"/>
      <c r="I80" s="31"/>
      <c r="J80" s="94"/>
      <c r="K80" s="31"/>
      <c r="L80" s="31"/>
      <c r="M80" s="31"/>
      <c r="N80" s="31"/>
      <c r="O80" s="31"/>
      <c r="P80" s="31"/>
      <c r="Q80" s="94"/>
      <c r="R80" s="31"/>
      <c r="S80" s="31"/>
      <c r="T80" s="31"/>
      <c r="U80" s="31"/>
      <c r="V80" s="31"/>
      <c r="W80" s="31"/>
      <c r="X80" s="40"/>
      <c r="Y80" s="40"/>
      <c r="Z80" s="40"/>
      <c r="AA80" s="40"/>
      <c r="AB80" s="40"/>
      <c r="AC80" s="40"/>
      <c r="AD80" s="40"/>
    </row>
    <row r="81" spans="1:30" s="39" customFormat="1" ht="13" customHeight="1">
      <c r="A81" s="31"/>
      <c r="B81" s="31"/>
      <c r="C81" s="94"/>
      <c r="D81" s="94"/>
      <c r="E81" s="94"/>
      <c r="F81" s="94"/>
      <c r="G81" s="94"/>
      <c r="H81" s="94"/>
      <c r="I81" s="31"/>
      <c r="J81" s="94"/>
      <c r="K81" s="31"/>
      <c r="L81" s="31"/>
      <c r="M81" s="31"/>
      <c r="N81" s="31"/>
      <c r="O81" s="31"/>
      <c r="P81" s="31"/>
      <c r="Q81" s="94"/>
      <c r="R81" s="31"/>
      <c r="S81" s="31"/>
      <c r="T81" s="31"/>
      <c r="U81" s="31"/>
      <c r="V81" s="31"/>
      <c r="W81" s="31"/>
      <c r="X81" s="40"/>
      <c r="Y81" s="40"/>
      <c r="Z81" s="40"/>
      <c r="AA81" s="40"/>
      <c r="AB81" s="40"/>
      <c r="AC81" s="40"/>
      <c r="AD81" s="40"/>
    </row>
    <row r="82" spans="1:30" s="39" customFormat="1" ht="13" customHeight="1">
      <c r="A82" s="31"/>
      <c r="B82" s="31"/>
      <c r="C82" s="94"/>
      <c r="D82" s="94"/>
      <c r="E82" s="94"/>
      <c r="F82" s="94"/>
      <c r="G82" s="94"/>
      <c r="H82" s="94"/>
      <c r="I82" s="31"/>
      <c r="J82" s="94"/>
      <c r="K82" s="31"/>
      <c r="L82" s="31"/>
      <c r="M82" s="31"/>
      <c r="N82" s="31"/>
      <c r="O82" s="31"/>
      <c r="P82" s="31"/>
      <c r="Q82" s="94"/>
      <c r="R82" s="31"/>
      <c r="S82" s="31"/>
      <c r="T82" s="31"/>
      <c r="U82" s="31"/>
      <c r="V82" s="31"/>
      <c r="W82" s="31"/>
      <c r="X82" s="40"/>
      <c r="Y82" s="40"/>
      <c r="Z82" s="40"/>
      <c r="AA82" s="40"/>
      <c r="AB82" s="40"/>
      <c r="AC82" s="40"/>
      <c r="AD82" s="40"/>
    </row>
    <row r="83" spans="1:30" s="39" customFormat="1" ht="13" customHeight="1">
      <c r="A83" s="31"/>
      <c r="B83" s="31"/>
      <c r="C83" s="94"/>
      <c r="D83" s="94"/>
      <c r="E83" s="94"/>
      <c r="F83" s="94"/>
      <c r="G83" s="94"/>
      <c r="H83" s="94"/>
      <c r="I83" s="31"/>
      <c r="J83" s="94"/>
      <c r="K83" s="31"/>
      <c r="L83" s="31"/>
      <c r="M83" s="31"/>
      <c r="N83" s="31"/>
      <c r="O83" s="31"/>
      <c r="P83" s="31"/>
      <c r="Q83" s="94"/>
      <c r="R83" s="31"/>
      <c r="S83" s="31"/>
      <c r="T83" s="31"/>
      <c r="U83" s="31"/>
      <c r="V83" s="31"/>
      <c r="W83" s="31"/>
      <c r="X83" s="40"/>
      <c r="Y83" s="40"/>
      <c r="Z83" s="40"/>
      <c r="AA83" s="40"/>
      <c r="AB83" s="40"/>
      <c r="AC83" s="40"/>
      <c r="AD83" s="40"/>
    </row>
    <row r="84" spans="1:30" s="39" customFormat="1" ht="13" customHeight="1">
      <c r="A84" s="31"/>
      <c r="B84" s="31"/>
      <c r="C84" s="94"/>
      <c r="D84" s="94"/>
      <c r="E84" s="94"/>
      <c r="F84" s="94"/>
      <c r="G84" s="94"/>
      <c r="H84" s="94"/>
      <c r="I84" s="31"/>
      <c r="J84" s="94"/>
      <c r="K84" s="31"/>
      <c r="L84" s="31"/>
      <c r="M84" s="31"/>
      <c r="N84" s="31"/>
      <c r="O84" s="31"/>
      <c r="P84" s="31"/>
      <c r="Q84" s="94"/>
      <c r="R84" s="31"/>
      <c r="S84" s="31"/>
      <c r="T84" s="31"/>
      <c r="U84" s="31"/>
      <c r="V84" s="31"/>
      <c r="W84" s="31"/>
      <c r="X84" s="40"/>
      <c r="Y84" s="40"/>
      <c r="Z84" s="40"/>
      <c r="AA84" s="40"/>
      <c r="AB84" s="40"/>
      <c r="AC84" s="40"/>
      <c r="AD84" s="40"/>
    </row>
    <row r="85" spans="1:30" s="39" customFormat="1" ht="13" customHeight="1">
      <c r="A85" s="31"/>
      <c r="B85" s="31"/>
      <c r="C85" s="94"/>
      <c r="D85" s="94"/>
      <c r="E85" s="94"/>
      <c r="F85" s="94"/>
      <c r="G85" s="94"/>
      <c r="H85" s="94"/>
      <c r="I85" s="31"/>
      <c r="J85" s="94"/>
      <c r="K85" s="31"/>
      <c r="L85" s="31"/>
      <c r="M85" s="31"/>
      <c r="N85" s="31"/>
      <c r="O85" s="31"/>
      <c r="P85" s="31"/>
      <c r="Q85" s="94"/>
      <c r="R85" s="31"/>
      <c r="S85" s="31"/>
      <c r="T85" s="31"/>
      <c r="U85" s="31"/>
      <c r="V85" s="31"/>
      <c r="W85" s="31"/>
      <c r="X85" s="40"/>
      <c r="Y85" s="40"/>
      <c r="Z85" s="40"/>
      <c r="AA85" s="40"/>
      <c r="AB85" s="40"/>
      <c r="AC85" s="40"/>
      <c r="AD85" s="40"/>
    </row>
    <row r="86" spans="1:30" s="39" customFormat="1" ht="13" customHeight="1">
      <c r="A86" s="31"/>
      <c r="B86" s="31"/>
      <c r="C86" s="94"/>
      <c r="D86" s="94"/>
      <c r="E86" s="94"/>
      <c r="F86" s="94"/>
      <c r="G86" s="94"/>
      <c r="H86" s="94"/>
      <c r="I86" s="31"/>
      <c r="J86" s="94"/>
      <c r="K86" s="31"/>
      <c r="L86" s="31"/>
      <c r="M86" s="31"/>
      <c r="N86" s="31"/>
      <c r="O86" s="31"/>
      <c r="P86" s="31"/>
      <c r="Q86" s="94"/>
      <c r="R86" s="31"/>
      <c r="S86" s="31"/>
      <c r="T86" s="31"/>
      <c r="U86" s="31"/>
      <c r="V86" s="31"/>
      <c r="W86" s="31"/>
      <c r="X86" s="40"/>
      <c r="Y86" s="40"/>
      <c r="Z86" s="40"/>
      <c r="AA86" s="40"/>
      <c r="AB86" s="40"/>
      <c r="AC86" s="40"/>
      <c r="AD86" s="40"/>
    </row>
    <row r="87" spans="1:30" s="39" customFormat="1" ht="13" customHeight="1">
      <c r="A87" s="31"/>
      <c r="B87" s="31"/>
      <c r="C87" s="94"/>
      <c r="D87" s="94"/>
      <c r="E87" s="94"/>
      <c r="F87" s="94"/>
      <c r="G87" s="94"/>
      <c r="H87" s="94"/>
      <c r="I87" s="31"/>
      <c r="J87" s="94"/>
      <c r="K87" s="31"/>
      <c r="L87" s="31"/>
      <c r="M87" s="31"/>
      <c r="N87" s="31"/>
      <c r="O87" s="31"/>
      <c r="P87" s="31"/>
      <c r="Q87" s="94"/>
      <c r="R87" s="31"/>
      <c r="S87" s="31"/>
      <c r="T87" s="31"/>
      <c r="U87" s="31"/>
      <c r="V87" s="31"/>
      <c r="W87" s="31"/>
      <c r="X87" s="40"/>
      <c r="Y87" s="40"/>
      <c r="Z87" s="40"/>
      <c r="AA87" s="40"/>
      <c r="AB87" s="40"/>
      <c r="AC87" s="40"/>
      <c r="AD87" s="40"/>
    </row>
    <row r="88" spans="1:30" s="39" customFormat="1" ht="13" customHeight="1">
      <c r="A88" s="31"/>
      <c r="B88" s="31"/>
      <c r="C88" s="94"/>
      <c r="D88" s="94"/>
      <c r="E88" s="94"/>
      <c r="F88" s="94"/>
      <c r="G88" s="94"/>
      <c r="H88" s="94"/>
      <c r="I88" s="31"/>
      <c r="J88" s="94"/>
      <c r="K88" s="31"/>
      <c r="L88" s="31"/>
      <c r="M88" s="31"/>
      <c r="N88" s="31"/>
      <c r="O88" s="31"/>
      <c r="P88" s="31"/>
      <c r="Q88" s="94"/>
      <c r="R88" s="31"/>
      <c r="S88" s="31"/>
      <c r="T88" s="31"/>
      <c r="U88" s="31"/>
      <c r="V88" s="31"/>
      <c r="W88" s="31"/>
      <c r="X88" s="40"/>
      <c r="Y88" s="40"/>
      <c r="Z88" s="40"/>
      <c r="AA88" s="40"/>
      <c r="AB88" s="40"/>
      <c r="AC88" s="40"/>
      <c r="AD88" s="40"/>
    </row>
    <row r="89" spans="1:30" s="39" customFormat="1" ht="13" customHeight="1">
      <c r="A89" s="31"/>
      <c r="B89" s="31"/>
      <c r="C89" s="94"/>
      <c r="D89" s="94"/>
      <c r="E89" s="94"/>
      <c r="F89" s="94"/>
      <c r="G89" s="94"/>
      <c r="H89" s="94"/>
      <c r="I89" s="31"/>
      <c r="J89" s="94"/>
      <c r="K89" s="31"/>
      <c r="L89" s="31"/>
      <c r="M89" s="31"/>
      <c r="N89" s="31"/>
      <c r="O89" s="31"/>
      <c r="P89" s="31"/>
      <c r="Q89" s="94"/>
      <c r="R89" s="31"/>
      <c r="S89" s="31"/>
      <c r="T89" s="31"/>
      <c r="U89" s="31"/>
      <c r="V89" s="31"/>
      <c r="W89" s="31"/>
      <c r="X89" s="40"/>
      <c r="Y89" s="40"/>
      <c r="Z89" s="40"/>
      <c r="AA89" s="40"/>
      <c r="AB89" s="40"/>
      <c r="AC89" s="40"/>
      <c r="AD89" s="40"/>
    </row>
    <row r="90" spans="1:30" s="39" customFormat="1" ht="13" customHeight="1">
      <c r="A90" s="31"/>
      <c r="B90" s="31"/>
      <c r="C90" s="94"/>
      <c r="D90" s="94"/>
      <c r="E90" s="94"/>
      <c r="F90" s="94"/>
      <c r="G90" s="94"/>
      <c r="H90" s="94"/>
      <c r="I90" s="31"/>
      <c r="J90" s="94"/>
      <c r="K90" s="31"/>
      <c r="L90" s="31"/>
      <c r="M90" s="31"/>
      <c r="N90" s="31"/>
      <c r="O90" s="31"/>
      <c r="P90" s="31"/>
      <c r="Q90" s="94"/>
      <c r="R90" s="31"/>
      <c r="S90" s="31"/>
      <c r="T90" s="31"/>
      <c r="U90" s="31"/>
      <c r="V90" s="31"/>
      <c r="W90" s="31"/>
      <c r="X90" s="40"/>
      <c r="Y90" s="40"/>
      <c r="Z90" s="40"/>
      <c r="AA90" s="40"/>
      <c r="AB90" s="40"/>
      <c r="AC90" s="40"/>
      <c r="AD90" s="40"/>
    </row>
    <row r="91" spans="1:30" s="39" customFormat="1" ht="13" customHeight="1">
      <c r="A91" s="31"/>
      <c r="B91" s="31"/>
      <c r="C91" s="94"/>
      <c r="D91" s="94"/>
      <c r="E91" s="94"/>
      <c r="F91" s="94"/>
      <c r="G91" s="94"/>
      <c r="H91" s="94"/>
      <c r="I91" s="31"/>
      <c r="J91" s="94"/>
      <c r="K91" s="31"/>
      <c r="L91" s="31"/>
      <c r="M91" s="31"/>
      <c r="N91" s="31"/>
      <c r="O91" s="31"/>
      <c r="P91" s="31"/>
      <c r="Q91" s="94"/>
      <c r="R91" s="31"/>
      <c r="S91" s="31"/>
      <c r="T91" s="31"/>
      <c r="U91" s="31"/>
      <c r="V91" s="31"/>
      <c r="W91" s="31"/>
      <c r="X91" s="40"/>
      <c r="Y91" s="40"/>
      <c r="Z91" s="40"/>
      <c r="AA91" s="40"/>
      <c r="AB91" s="40"/>
      <c r="AC91" s="40"/>
      <c r="AD91" s="40"/>
    </row>
    <row r="92" spans="1:30" s="39" customFormat="1" ht="13" customHeight="1">
      <c r="A92" s="31"/>
      <c r="B92" s="31"/>
      <c r="C92" s="94"/>
      <c r="D92" s="94"/>
      <c r="E92" s="94"/>
      <c r="F92" s="94"/>
      <c r="G92" s="94"/>
      <c r="H92" s="94"/>
      <c r="I92" s="31"/>
      <c r="J92" s="94"/>
      <c r="K92" s="31"/>
      <c r="L92" s="31"/>
      <c r="M92" s="31"/>
      <c r="N92" s="31"/>
      <c r="O92" s="31"/>
      <c r="P92" s="31"/>
      <c r="Q92" s="94"/>
      <c r="R92" s="31"/>
      <c r="S92" s="31"/>
      <c r="T92" s="31"/>
      <c r="U92" s="31"/>
      <c r="V92" s="31"/>
      <c r="W92" s="31"/>
      <c r="X92" s="40"/>
      <c r="Y92" s="40"/>
      <c r="Z92" s="40"/>
      <c r="AA92" s="40"/>
      <c r="AB92" s="40"/>
      <c r="AC92" s="40"/>
      <c r="AD92" s="40"/>
    </row>
    <row r="93" spans="1:30" s="39" customFormat="1" ht="13" customHeight="1">
      <c r="A93" s="31"/>
      <c r="B93" s="31"/>
      <c r="C93" s="94"/>
      <c r="D93" s="94"/>
      <c r="E93" s="94"/>
      <c r="F93" s="94"/>
      <c r="G93" s="94"/>
      <c r="H93" s="94"/>
      <c r="I93" s="31"/>
      <c r="J93" s="94"/>
      <c r="K93" s="31"/>
      <c r="L93" s="31"/>
      <c r="M93" s="31"/>
      <c r="N93" s="31"/>
      <c r="O93" s="31"/>
      <c r="P93" s="31"/>
      <c r="Q93" s="94"/>
      <c r="R93" s="31"/>
      <c r="S93" s="31"/>
      <c r="T93" s="31"/>
      <c r="U93" s="31"/>
      <c r="V93" s="31"/>
      <c r="W93" s="31"/>
      <c r="X93" s="40"/>
      <c r="Y93" s="40"/>
      <c r="Z93" s="40"/>
      <c r="AA93" s="40"/>
      <c r="AB93" s="40"/>
      <c r="AC93" s="40"/>
      <c r="AD93" s="40"/>
    </row>
    <row r="94" spans="1:30" s="39" customFormat="1" ht="13" customHeight="1">
      <c r="A94" s="31"/>
      <c r="B94" s="31"/>
      <c r="C94" s="94"/>
      <c r="D94" s="94"/>
      <c r="E94" s="94"/>
      <c r="F94" s="94"/>
      <c r="G94" s="94"/>
      <c r="H94" s="94"/>
      <c r="I94" s="31"/>
      <c r="J94" s="94"/>
      <c r="K94" s="31"/>
      <c r="L94" s="31"/>
      <c r="M94" s="31"/>
      <c r="N94" s="31"/>
      <c r="O94" s="31"/>
      <c r="P94" s="31"/>
      <c r="Q94" s="94"/>
      <c r="R94" s="31"/>
      <c r="S94" s="31"/>
      <c r="T94" s="31"/>
      <c r="U94" s="31"/>
      <c r="V94" s="31"/>
      <c r="W94" s="31"/>
      <c r="X94" s="40"/>
      <c r="Y94" s="40"/>
      <c r="Z94" s="40"/>
      <c r="AA94" s="40"/>
      <c r="AB94" s="40"/>
      <c r="AC94" s="40"/>
      <c r="AD94" s="40"/>
    </row>
    <row r="95" spans="1:30" s="39" customFormat="1" ht="13" customHeight="1">
      <c r="A95" s="31"/>
      <c r="B95" s="31"/>
      <c r="C95" s="94"/>
      <c r="D95" s="94"/>
      <c r="E95" s="94"/>
      <c r="F95" s="94"/>
      <c r="G95" s="94"/>
      <c r="H95" s="94"/>
      <c r="I95" s="31"/>
      <c r="J95" s="94"/>
      <c r="K95" s="31"/>
      <c r="L95" s="31"/>
      <c r="M95" s="31"/>
      <c r="N95" s="31"/>
      <c r="O95" s="31"/>
      <c r="P95" s="31"/>
      <c r="Q95" s="94"/>
      <c r="R95" s="31"/>
      <c r="S95" s="31"/>
      <c r="T95" s="31"/>
      <c r="U95" s="31"/>
      <c r="V95" s="31"/>
      <c r="W95" s="31"/>
      <c r="X95" s="40"/>
      <c r="Y95" s="40"/>
      <c r="Z95" s="40"/>
      <c r="AA95" s="40"/>
      <c r="AB95" s="40"/>
      <c r="AC95" s="40"/>
      <c r="AD95" s="40"/>
    </row>
    <row r="96" spans="1:30" s="39" customFormat="1" ht="13" customHeight="1">
      <c r="A96" s="31"/>
      <c r="B96" s="31"/>
      <c r="C96" s="94"/>
      <c r="D96" s="94"/>
      <c r="E96" s="94"/>
      <c r="F96" s="94"/>
      <c r="G96" s="94"/>
      <c r="H96" s="94"/>
      <c r="I96" s="31"/>
      <c r="J96" s="94"/>
      <c r="K96" s="31"/>
      <c r="L96" s="31"/>
      <c r="M96" s="31"/>
      <c r="N96" s="31"/>
      <c r="O96" s="31"/>
      <c r="P96" s="31"/>
      <c r="Q96" s="94"/>
      <c r="R96" s="31"/>
      <c r="S96" s="31"/>
      <c r="T96" s="31"/>
      <c r="U96" s="31"/>
      <c r="V96" s="31"/>
      <c r="W96" s="31"/>
      <c r="X96" s="40"/>
      <c r="Y96" s="40"/>
      <c r="Z96" s="40"/>
      <c r="AA96" s="40"/>
      <c r="AB96" s="40"/>
      <c r="AC96" s="40"/>
      <c r="AD96" s="40"/>
    </row>
    <row r="97" spans="1:30" s="39" customFormat="1" ht="13" customHeight="1">
      <c r="A97" s="31"/>
      <c r="B97" s="31"/>
      <c r="C97" s="94"/>
      <c r="D97" s="94"/>
      <c r="E97" s="94"/>
      <c r="F97" s="94"/>
      <c r="G97" s="94"/>
      <c r="H97" s="94"/>
      <c r="I97" s="31"/>
      <c r="J97" s="94"/>
      <c r="K97" s="31"/>
      <c r="L97" s="31"/>
      <c r="M97" s="31"/>
      <c r="N97" s="31"/>
      <c r="O97" s="31"/>
      <c r="P97" s="31"/>
      <c r="Q97" s="94"/>
      <c r="R97" s="31"/>
      <c r="S97" s="31"/>
      <c r="T97" s="31"/>
      <c r="U97" s="31"/>
      <c r="V97" s="31"/>
      <c r="W97" s="31"/>
      <c r="X97" s="40"/>
      <c r="Y97" s="40"/>
      <c r="Z97" s="40"/>
      <c r="AA97" s="40"/>
      <c r="AB97" s="40"/>
      <c r="AC97" s="40"/>
      <c r="AD97" s="40"/>
    </row>
    <row r="98" spans="1:30" s="39" customFormat="1" ht="13" customHeight="1">
      <c r="A98" s="31"/>
      <c r="B98" s="31"/>
      <c r="C98" s="94"/>
      <c r="D98" s="94"/>
      <c r="E98" s="94"/>
      <c r="F98" s="94"/>
      <c r="G98" s="94"/>
      <c r="H98" s="94"/>
      <c r="I98" s="31"/>
      <c r="J98" s="94"/>
      <c r="K98" s="31"/>
      <c r="L98" s="31"/>
      <c r="M98" s="31"/>
      <c r="N98" s="31"/>
      <c r="O98" s="31"/>
      <c r="P98" s="31"/>
      <c r="Q98" s="94"/>
      <c r="R98" s="31"/>
      <c r="S98" s="31"/>
      <c r="T98" s="31"/>
      <c r="U98" s="31"/>
      <c r="V98" s="31"/>
      <c r="W98" s="31"/>
      <c r="X98" s="40"/>
      <c r="Y98" s="40"/>
      <c r="Z98" s="40"/>
      <c r="AA98" s="40"/>
      <c r="AB98" s="40"/>
      <c r="AC98" s="40"/>
      <c r="AD98" s="40"/>
    </row>
    <row r="99" spans="1:30" s="39" customFormat="1" ht="13" customHeight="1">
      <c r="A99" s="31"/>
      <c r="B99" s="31"/>
      <c r="C99" s="94"/>
      <c r="D99" s="94"/>
      <c r="E99" s="94"/>
      <c r="F99" s="94"/>
      <c r="G99" s="94"/>
      <c r="H99" s="94"/>
      <c r="I99" s="31"/>
      <c r="J99" s="94"/>
      <c r="K99" s="31"/>
      <c r="L99" s="31"/>
      <c r="M99" s="31"/>
      <c r="N99" s="31"/>
      <c r="O99" s="31"/>
      <c r="P99" s="31"/>
      <c r="Q99" s="94"/>
      <c r="R99" s="31"/>
      <c r="S99" s="31"/>
      <c r="T99" s="31"/>
      <c r="U99" s="31"/>
      <c r="V99" s="31"/>
      <c r="W99" s="31"/>
      <c r="X99" s="40"/>
      <c r="Y99" s="40"/>
      <c r="Z99" s="40"/>
      <c r="AA99" s="40"/>
      <c r="AB99" s="40"/>
      <c r="AC99" s="40"/>
      <c r="AD99" s="40"/>
    </row>
    <row r="100" spans="1:30" s="39" customFormat="1" ht="13" customHeight="1">
      <c r="A100" s="31"/>
      <c r="B100" s="31"/>
      <c r="C100" s="94"/>
      <c r="D100" s="94"/>
      <c r="E100" s="94"/>
      <c r="F100" s="94"/>
      <c r="G100" s="94"/>
      <c r="H100" s="94"/>
      <c r="I100" s="31"/>
      <c r="J100" s="94"/>
      <c r="K100" s="31"/>
      <c r="L100" s="31"/>
      <c r="M100" s="31"/>
      <c r="N100" s="31"/>
      <c r="O100" s="31"/>
      <c r="P100" s="31"/>
      <c r="Q100" s="94"/>
      <c r="R100" s="31"/>
      <c r="S100" s="31"/>
      <c r="T100" s="31"/>
      <c r="U100" s="31"/>
      <c r="V100" s="31"/>
      <c r="W100" s="31"/>
      <c r="X100" s="40"/>
      <c r="Y100" s="40"/>
      <c r="Z100" s="40"/>
      <c r="AA100" s="40"/>
      <c r="AB100" s="40"/>
      <c r="AC100" s="40"/>
      <c r="AD100" s="40"/>
    </row>
    <row r="101" spans="1:30" s="39" customFormat="1" ht="13" customHeight="1">
      <c r="A101" s="31"/>
      <c r="B101" s="31"/>
      <c r="C101" s="94"/>
      <c r="D101" s="94"/>
      <c r="E101" s="94"/>
      <c r="F101" s="94"/>
      <c r="G101" s="94"/>
      <c r="H101" s="94"/>
      <c r="I101" s="31"/>
      <c r="J101" s="94"/>
      <c r="K101" s="31"/>
      <c r="L101" s="31"/>
      <c r="M101" s="31"/>
      <c r="N101" s="31"/>
      <c r="O101" s="31"/>
      <c r="P101" s="31"/>
      <c r="Q101" s="94"/>
      <c r="R101" s="31"/>
      <c r="S101" s="31"/>
      <c r="T101" s="31"/>
      <c r="U101" s="31"/>
      <c r="V101" s="31"/>
      <c r="W101" s="31"/>
      <c r="X101" s="40"/>
      <c r="Y101" s="40"/>
      <c r="Z101" s="40"/>
      <c r="AA101" s="40"/>
      <c r="AB101" s="40"/>
      <c r="AC101" s="40"/>
      <c r="AD101" s="40"/>
    </row>
    <row r="102" spans="1:30" s="39" customFormat="1" ht="13" customHeight="1">
      <c r="A102" s="31"/>
      <c r="B102" s="31"/>
      <c r="C102" s="94"/>
      <c r="D102" s="94"/>
      <c r="E102" s="94"/>
      <c r="F102" s="94"/>
      <c r="G102" s="94"/>
      <c r="H102" s="94"/>
      <c r="I102" s="31"/>
      <c r="J102" s="94"/>
      <c r="K102" s="31"/>
      <c r="L102" s="31"/>
      <c r="M102" s="31"/>
      <c r="N102" s="31"/>
      <c r="O102" s="31"/>
      <c r="P102" s="31"/>
      <c r="Q102" s="94"/>
      <c r="R102" s="31"/>
      <c r="S102" s="31"/>
      <c r="T102" s="31"/>
      <c r="U102" s="31"/>
      <c r="V102" s="31"/>
      <c r="W102" s="31"/>
      <c r="X102" s="40"/>
      <c r="Y102" s="40"/>
      <c r="Z102" s="40"/>
      <c r="AA102" s="40"/>
      <c r="AB102" s="40"/>
      <c r="AC102" s="40"/>
      <c r="AD102" s="40"/>
    </row>
    <row r="103" spans="1:30" s="39" customFormat="1" ht="13" customHeight="1">
      <c r="A103" s="31"/>
      <c r="B103" s="31"/>
      <c r="C103" s="94"/>
      <c r="D103" s="94"/>
      <c r="E103" s="94"/>
      <c r="F103" s="94"/>
      <c r="G103" s="94"/>
      <c r="H103" s="94"/>
      <c r="I103" s="31"/>
      <c r="J103" s="94"/>
      <c r="K103" s="31"/>
      <c r="L103" s="31"/>
      <c r="M103" s="31"/>
      <c r="N103" s="31"/>
      <c r="O103" s="31"/>
      <c r="P103" s="31"/>
      <c r="Q103" s="94"/>
      <c r="R103" s="31"/>
      <c r="S103" s="31"/>
      <c r="T103" s="31"/>
      <c r="U103" s="31"/>
      <c r="V103" s="31"/>
      <c r="W103" s="31"/>
      <c r="X103" s="40"/>
      <c r="Y103" s="40"/>
      <c r="Z103" s="40"/>
      <c r="AA103" s="40"/>
      <c r="AB103" s="40"/>
      <c r="AC103" s="40"/>
      <c r="AD103" s="40"/>
    </row>
    <row r="104" spans="1:30" s="39" customFormat="1" ht="13" customHeight="1">
      <c r="A104" s="31"/>
      <c r="B104" s="31"/>
      <c r="C104" s="94"/>
      <c r="D104" s="94"/>
      <c r="E104" s="94"/>
      <c r="F104" s="94"/>
      <c r="G104" s="94"/>
      <c r="H104" s="94"/>
      <c r="I104" s="31"/>
      <c r="J104" s="94"/>
      <c r="K104" s="31"/>
      <c r="L104" s="31"/>
      <c r="M104" s="31"/>
      <c r="N104" s="31"/>
      <c r="O104" s="31"/>
      <c r="P104" s="31"/>
      <c r="Q104" s="94"/>
      <c r="R104" s="31"/>
      <c r="S104" s="31"/>
      <c r="T104" s="31"/>
      <c r="U104" s="31"/>
      <c r="V104" s="31"/>
      <c r="W104" s="31"/>
      <c r="X104" s="40"/>
      <c r="Y104" s="40"/>
      <c r="Z104" s="40"/>
      <c r="AA104" s="40"/>
      <c r="AB104" s="40"/>
      <c r="AC104" s="40"/>
      <c r="AD104" s="40"/>
    </row>
    <row r="105" spans="1:30" s="39" customFormat="1" ht="13" customHeight="1">
      <c r="A105" s="31"/>
      <c r="B105" s="31"/>
      <c r="C105" s="94"/>
      <c r="D105" s="94"/>
      <c r="E105" s="94"/>
      <c r="F105" s="94"/>
      <c r="G105" s="94"/>
      <c r="H105" s="94"/>
      <c r="I105" s="31"/>
      <c r="J105" s="94"/>
      <c r="K105" s="31"/>
      <c r="L105" s="31"/>
      <c r="M105" s="31"/>
      <c r="N105" s="31"/>
      <c r="O105" s="31"/>
      <c r="P105" s="31"/>
      <c r="Q105" s="94"/>
      <c r="R105" s="31"/>
      <c r="S105" s="31"/>
      <c r="T105" s="31"/>
      <c r="U105" s="31"/>
      <c r="V105" s="31"/>
      <c r="W105" s="31"/>
      <c r="X105" s="40"/>
      <c r="Y105" s="40"/>
      <c r="Z105" s="40"/>
      <c r="AA105" s="40"/>
      <c r="AB105" s="40"/>
      <c r="AC105" s="40"/>
      <c r="AD105" s="40"/>
    </row>
    <row r="106" spans="1:30" s="39" customFormat="1" ht="13" customHeight="1">
      <c r="A106" s="31"/>
      <c r="B106" s="31"/>
      <c r="C106" s="94"/>
      <c r="D106" s="94"/>
      <c r="E106" s="94"/>
      <c r="F106" s="94"/>
      <c r="G106" s="94"/>
      <c r="H106" s="94"/>
      <c r="I106" s="31"/>
      <c r="J106" s="94"/>
      <c r="K106" s="31"/>
      <c r="L106" s="31"/>
      <c r="M106" s="31"/>
      <c r="N106" s="31"/>
      <c r="O106" s="31"/>
      <c r="P106" s="31"/>
      <c r="Q106" s="94"/>
      <c r="R106" s="31"/>
      <c r="S106" s="31"/>
      <c r="T106" s="31"/>
      <c r="U106" s="31"/>
      <c r="V106" s="31"/>
      <c r="W106" s="31"/>
      <c r="X106" s="40"/>
      <c r="Y106" s="40"/>
      <c r="Z106" s="40"/>
      <c r="AA106" s="40"/>
      <c r="AB106" s="40"/>
      <c r="AC106" s="40"/>
      <c r="AD106" s="40"/>
    </row>
    <row r="107" spans="1:30" s="39" customFormat="1" ht="13" customHeight="1">
      <c r="A107" s="31"/>
      <c r="B107" s="31"/>
      <c r="C107" s="94"/>
      <c r="D107" s="94"/>
      <c r="E107" s="94"/>
      <c r="F107" s="94"/>
      <c r="G107" s="94"/>
      <c r="H107" s="94"/>
      <c r="I107" s="31"/>
      <c r="J107" s="94"/>
      <c r="K107" s="31"/>
      <c r="L107" s="31"/>
      <c r="M107" s="31"/>
      <c r="N107" s="31"/>
      <c r="O107" s="31"/>
      <c r="P107" s="31"/>
      <c r="Q107" s="94"/>
      <c r="R107" s="31"/>
      <c r="S107" s="31"/>
      <c r="T107" s="31"/>
      <c r="U107" s="31"/>
      <c r="V107" s="31"/>
      <c r="W107" s="31"/>
      <c r="X107" s="40"/>
      <c r="Y107" s="40"/>
      <c r="Z107" s="40"/>
      <c r="AA107" s="40"/>
      <c r="AB107" s="40"/>
      <c r="AC107" s="40"/>
      <c r="AD107" s="40"/>
    </row>
    <row r="108" spans="1:30" s="39" customFormat="1" ht="13" customHeight="1">
      <c r="A108" s="31"/>
      <c r="B108" s="31"/>
      <c r="C108" s="94"/>
      <c r="D108" s="94"/>
      <c r="E108" s="94"/>
      <c r="F108" s="94"/>
      <c r="G108" s="94"/>
      <c r="H108" s="94"/>
      <c r="I108" s="31"/>
      <c r="J108" s="94"/>
      <c r="K108" s="31"/>
      <c r="L108" s="31"/>
      <c r="M108" s="31"/>
      <c r="N108" s="31"/>
      <c r="O108" s="31"/>
      <c r="P108" s="31"/>
      <c r="Q108" s="94"/>
      <c r="R108" s="31"/>
      <c r="S108" s="31"/>
      <c r="T108" s="31"/>
      <c r="U108" s="31"/>
      <c r="V108" s="31"/>
      <c r="W108" s="31"/>
      <c r="X108" s="40"/>
      <c r="Y108" s="40"/>
      <c r="Z108" s="40"/>
      <c r="AA108" s="40"/>
      <c r="AB108" s="40"/>
      <c r="AC108" s="40"/>
      <c r="AD108" s="40"/>
    </row>
    <row r="109" spans="1:30" s="39" customFormat="1" ht="13" customHeight="1">
      <c r="A109" s="16"/>
      <c r="B109" s="16"/>
      <c r="C109" s="91"/>
      <c r="D109" s="91"/>
      <c r="E109" s="91"/>
      <c r="F109" s="94"/>
      <c r="G109" s="94"/>
      <c r="H109" s="94"/>
      <c r="I109" s="31"/>
      <c r="J109" s="94"/>
      <c r="K109" s="31"/>
      <c r="L109" s="31"/>
      <c r="M109" s="31"/>
      <c r="N109" s="31"/>
      <c r="O109" s="31"/>
      <c r="P109" s="31"/>
      <c r="Q109" s="94"/>
      <c r="R109" s="16"/>
      <c r="S109" s="16"/>
      <c r="T109" s="16"/>
      <c r="U109" s="16"/>
      <c r="V109" s="16"/>
      <c r="W109" s="16"/>
    </row>
    <row r="110" spans="1:30" s="39" customFormat="1" ht="13" customHeight="1">
      <c r="A110" s="16"/>
      <c r="B110" s="16"/>
      <c r="C110" s="91"/>
      <c r="D110" s="91"/>
      <c r="E110" s="91"/>
      <c r="F110" s="94"/>
      <c r="G110" s="94"/>
      <c r="H110" s="94"/>
      <c r="I110" s="31"/>
      <c r="J110" s="94"/>
      <c r="K110" s="31"/>
      <c r="L110" s="31"/>
      <c r="M110" s="31"/>
      <c r="N110" s="31"/>
      <c r="O110" s="31"/>
      <c r="P110" s="31"/>
      <c r="Q110" s="94"/>
      <c r="R110" s="16"/>
      <c r="S110" s="16"/>
      <c r="T110" s="16"/>
      <c r="U110" s="16"/>
      <c r="V110" s="16"/>
      <c r="W110" s="16"/>
    </row>
    <row r="111" spans="1:30" s="39" customFormat="1" ht="13" customHeight="1">
      <c r="A111" s="16"/>
      <c r="B111" s="16"/>
      <c r="C111" s="91"/>
      <c r="D111" s="91"/>
      <c r="E111" s="91"/>
      <c r="F111" s="94"/>
      <c r="G111" s="94"/>
      <c r="H111" s="94"/>
      <c r="I111" s="31"/>
      <c r="J111" s="94"/>
      <c r="K111" s="31"/>
      <c r="L111" s="31"/>
      <c r="M111" s="31"/>
      <c r="N111" s="31"/>
      <c r="O111" s="31"/>
      <c r="P111" s="31"/>
      <c r="Q111" s="94"/>
      <c r="R111" s="16"/>
      <c r="S111" s="16"/>
      <c r="T111" s="16"/>
      <c r="U111" s="16"/>
      <c r="V111" s="16"/>
      <c r="W111" s="16"/>
    </row>
    <row r="112" spans="1:30" s="39" customFormat="1" ht="13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</row>
    <row r="113" spans="1:18" s="39" customFormat="1" ht="13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</row>
    <row r="114" spans="1:18" s="39" customFormat="1" ht="13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</row>
    <row r="115" spans="1:18" ht="13" customHeigh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</row>
    <row r="116" spans="1:18" ht="13" customHeight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</row>
    <row r="117" spans="1:18" ht="13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</row>
    <row r="118" spans="1:18" ht="13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</row>
  </sheetData>
  <sheetProtection password="C6F9" sheet="1" objects="1" scenarios="1" selectLockedCells="1"/>
  <pageMargins left="0.7" right="0.7" top="0.75" bottom="0.75" header="0.3" footer="0.3"/>
  <pageSetup orientation="portrait" verticalDpi="598" r:id="rId1"/>
  <ignoredErrors>
    <ignoredError sqref="B10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01"/>
  <sheetViews>
    <sheetView topLeftCell="A22" zoomScale="80" zoomScaleNormal="80" workbookViewId="0">
      <selection activeCell="M30" sqref="M30"/>
    </sheetView>
  </sheetViews>
  <sheetFormatPr defaultRowHeight="14.5"/>
  <cols>
    <col min="2" max="2" width="12" bestFit="1" customWidth="1"/>
    <col min="3" max="3" width="16.7265625" bestFit="1" customWidth="1"/>
    <col min="4" max="4" width="11.453125" customWidth="1"/>
    <col min="5" max="5" width="18.26953125" customWidth="1"/>
    <col min="6" max="6" width="11.453125" customWidth="1"/>
    <col min="7" max="7" width="10.1796875" customWidth="1"/>
    <col min="8" max="8" width="12.7265625" customWidth="1"/>
    <col min="9" max="9" width="11.54296875" customWidth="1"/>
    <col min="10" max="10" width="12" bestFit="1" customWidth="1"/>
    <col min="11" max="11" width="14" customWidth="1"/>
    <col min="12" max="12" width="11.54296875" customWidth="1"/>
    <col min="13" max="13" width="11.453125" customWidth="1"/>
    <col min="14" max="14" width="12.54296875" customWidth="1"/>
    <col min="15" max="15" width="11.26953125" customWidth="1"/>
    <col min="16" max="16" width="34.54296875" customWidth="1"/>
    <col min="17" max="17" width="11" bestFit="1" customWidth="1"/>
    <col min="18" max="18" width="9.26953125" bestFit="1" customWidth="1"/>
    <col min="19" max="19" width="14.26953125" customWidth="1"/>
    <col min="22" max="22" width="39.453125" customWidth="1"/>
    <col min="24" max="24" width="22.26953125" customWidth="1"/>
    <col min="25" max="26" width="9.26953125" bestFit="1" customWidth="1"/>
    <col min="28" max="28" width="21.26953125" customWidth="1"/>
    <col min="29" max="30" width="9.26953125" bestFit="1" customWidth="1"/>
    <col min="32" max="32" width="20.26953125" customWidth="1"/>
    <col min="33" max="34" width="9.26953125" bestFit="1" customWidth="1"/>
    <col min="36" max="36" width="34.453125" customWidth="1"/>
    <col min="37" max="37" width="26.54296875" customWidth="1"/>
    <col min="38" max="38" width="16.453125" customWidth="1"/>
    <col min="39" max="40" width="20.1796875" customWidth="1"/>
    <col min="41" max="41" width="37.1796875" customWidth="1"/>
    <col min="42" max="42" width="27" customWidth="1"/>
    <col min="43" max="43" width="12.1796875" customWidth="1"/>
    <col min="44" max="44" width="13.7265625" bestFit="1" customWidth="1"/>
    <col min="47" max="47" width="34.81640625" customWidth="1"/>
    <col min="50" max="51" width="9.26953125" bestFit="1" customWidth="1"/>
    <col min="52" max="52" width="9.453125" customWidth="1"/>
    <col min="53" max="54" width="9.26953125" bestFit="1" customWidth="1"/>
    <col min="57" max="58" width="9.26953125" bestFit="1" customWidth="1"/>
    <col min="60" max="61" width="9.26953125" bestFit="1" customWidth="1"/>
    <col min="261" max="261" width="12" bestFit="1" customWidth="1"/>
    <col min="262" max="262" width="16.7265625" bestFit="1" customWidth="1"/>
    <col min="263" max="263" width="11.453125" customWidth="1"/>
    <col min="264" max="264" width="16.7265625" customWidth="1"/>
    <col min="265" max="265" width="11.453125" customWidth="1"/>
    <col min="266" max="266" width="10.1796875" customWidth="1"/>
    <col min="267" max="267" width="12.7265625" customWidth="1"/>
    <col min="268" max="268" width="11.54296875" customWidth="1"/>
    <col min="269" max="269" width="12" bestFit="1" customWidth="1"/>
    <col min="270" max="270" width="14" customWidth="1"/>
    <col min="271" max="271" width="11.54296875" customWidth="1"/>
    <col min="272" max="272" width="12.7265625" customWidth="1"/>
    <col min="273" max="273" width="12.54296875" customWidth="1"/>
    <col min="274" max="274" width="11.26953125" customWidth="1"/>
    <col min="275" max="275" width="34.54296875" customWidth="1"/>
    <col min="276" max="276" width="11" bestFit="1" customWidth="1"/>
    <col min="278" max="278" width="14.26953125" customWidth="1"/>
    <col min="281" max="281" width="39.453125" customWidth="1"/>
    <col min="283" max="283" width="22.26953125" customWidth="1"/>
    <col min="287" max="287" width="21.26953125" customWidth="1"/>
    <col min="291" max="291" width="20.26953125" customWidth="1"/>
    <col min="295" max="295" width="34.453125" customWidth="1"/>
    <col min="296" max="296" width="26.54296875" customWidth="1"/>
    <col min="297" max="297" width="16.453125" customWidth="1"/>
    <col min="298" max="299" width="20.1796875" customWidth="1"/>
    <col min="300" max="300" width="37.1796875" customWidth="1"/>
    <col min="301" max="301" width="27" customWidth="1"/>
    <col min="302" max="302" width="12.1796875" customWidth="1"/>
    <col min="303" max="303" width="12.453125" bestFit="1" customWidth="1"/>
    <col min="306" max="306" width="34.81640625" customWidth="1"/>
    <col min="311" max="311" width="9.453125" customWidth="1"/>
    <col min="517" max="517" width="12" bestFit="1" customWidth="1"/>
    <col min="518" max="518" width="16.7265625" bestFit="1" customWidth="1"/>
    <col min="519" max="519" width="11.453125" customWidth="1"/>
    <col min="520" max="520" width="16.7265625" customWidth="1"/>
    <col min="521" max="521" width="11.453125" customWidth="1"/>
    <col min="522" max="522" width="10.1796875" customWidth="1"/>
    <col min="523" max="523" width="12.7265625" customWidth="1"/>
    <col min="524" max="524" width="11.54296875" customWidth="1"/>
    <col min="525" max="525" width="12" bestFit="1" customWidth="1"/>
    <col min="526" max="526" width="14" customWidth="1"/>
    <col min="527" max="527" width="11.54296875" customWidth="1"/>
    <col min="528" max="528" width="12.7265625" customWidth="1"/>
    <col min="529" max="529" width="12.54296875" customWidth="1"/>
    <col min="530" max="530" width="11.26953125" customWidth="1"/>
    <col min="531" max="531" width="34.54296875" customWidth="1"/>
    <col min="532" max="532" width="11" bestFit="1" customWidth="1"/>
    <col min="534" max="534" width="14.26953125" customWidth="1"/>
    <col min="537" max="537" width="39.453125" customWidth="1"/>
    <col min="539" max="539" width="22.26953125" customWidth="1"/>
    <col min="543" max="543" width="21.26953125" customWidth="1"/>
    <col min="547" max="547" width="20.26953125" customWidth="1"/>
    <col min="551" max="551" width="34.453125" customWidth="1"/>
    <col min="552" max="552" width="26.54296875" customWidth="1"/>
    <col min="553" max="553" width="16.453125" customWidth="1"/>
    <col min="554" max="555" width="20.1796875" customWidth="1"/>
    <col min="556" max="556" width="37.1796875" customWidth="1"/>
    <col min="557" max="557" width="27" customWidth="1"/>
    <col min="558" max="558" width="12.1796875" customWidth="1"/>
    <col min="559" max="559" width="12.453125" bestFit="1" customWidth="1"/>
    <col min="562" max="562" width="34.81640625" customWidth="1"/>
    <col min="567" max="567" width="9.453125" customWidth="1"/>
    <col min="773" max="773" width="12" bestFit="1" customWidth="1"/>
    <col min="774" max="774" width="16.7265625" bestFit="1" customWidth="1"/>
    <col min="775" max="775" width="11.453125" customWidth="1"/>
    <col min="776" max="776" width="16.7265625" customWidth="1"/>
    <col min="777" max="777" width="11.453125" customWidth="1"/>
    <col min="778" max="778" width="10.1796875" customWidth="1"/>
    <col min="779" max="779" width="12.7265625" customWidth="1"/>
    <col min="780" max="780" width="11.54296875" customWidth="1"/>
    <col min="781" max="781" width="12" bestFit="1" customWidth="1"/>
    <col min="782" max="782" width="14" customWidth="1"/>
    <col min="783" max="783" width="11.54296875" customWidth="1"/>
    <col min="784" max="784" width="12.7265625" customWidth="1"/>
    <col min="785" max="785" width="12.54296875" customWidth="1"/>
    <col min="786" max="786" width="11.26953125" customWidth="1"/>
    <col min="787" max="787" width="34.54296875" customWidth="1"/>
    <col min="788" max="788" width="11" bestFit="1" customWidth="1"/>
    <col min="790" max="790" width="14.26953125" customWidth="1"/>
    <col min="793" max="793" width="39.453125" customWidth="1"/>
    <col min="795" max="795" width="22.26953125" customWidth="1"/>
    <col min="799" max="799" width="21.26953125" customWidth="1"/>
    <col min="803" max="803" width="20.26953125" customWidth="1"/>
    <col min="807" max="807" width="34.453125" customWidth="1"/>
    <col min="808" max="808" width="26.54296875" customWidth="1"/>
    <col min="809" max="809" width="16.453125" customWidth="1"/>
    <col min="810" max="811" width="20.1796875" customWidth="1"/>
    <col min="812" max="812" width="37.1796875" customWidth="1"/>
    <col min="813" max="813" width="27" customWidth="1"/>
    <col min="814" max="814" width="12.1796875" customWidth="1"/>
    <col min="815" max="815" width="12.453125" bestFit="1" customWidth="1"/>
    <col min="818" max="818" width="34.81640625" customWidth="1"/>
    <col min="823" max="823" width="9.453125" customWidth="1"/>
    <col min="1029" max="1029" width="12" bestFit="1" customWidth="1"/>
    <col min="1030" max="1030" width="16.7265625" bestFit="1" customWidth="1"/>
    <col min="1031" max="1031" width="11.453125" customWidth="1"/>
    <col min="1032" max="1032" width="16.7265625" customWidth="1"/>
    <col min="1033" max="1033" width="11.453125" customWidth="1"/>
    <col min="1034" max="1034" width="10.1796875" customWidth="1"/>
    <col min="1035" max="1035" width="12.7265625" customWidth="1"/>
    <col min="1036" max="1036" width="11.54296875" customWidth="1"/>
    <col min="1037" max="1037" width="12" bestFit="1" customWidth="1"/>
    <col min="1038" max="1038" width="14" customWidth="1"/>
    <col min="1039" max="1039" width="11.54296875" customWidth="1"/>
    <col min="1040" max="1040" width="12.7265625" customWidth="1"/>
    <col min="1041" max="1041" width="12.54296875" customWidth="1"/>
    <col min="1042" max="1042" width="11.26953125" customWidth="1"/>
    <col min="1043" max="1043" width="34.54296875" customWidth="1"/>
    <col min="1044" max="1044" width="11" bestFit="1" customWidth="1"/>
    <col min="1046" max="1046" width="14.26953125" customWidth="1"/>
    <col min="1049" max="1049" width="39.453125" customWidth="1"/>
    <col min="1051" max="1051" width="22.26953125" customWidth="1"/>
    <col min="1055" max="1055" width="21.26953125" customWidth="1"/>
    <col min="1059" max="1059" width="20.26953125" customWidth="1"/>
    <col min="1063" max="1063" width="34.453125" customWidth="1"/>
    <col min="1064" max="1064" width="26.54296875" customWidth="1"/>
    <col min="1065" max="1065" width="16.453125" customWidth="1"/>
    <col min="1066" max="1067" width="20.1796875" customWidth="1"/>
    <col min="1068" max="1068" width="37.1796875" customWidth="1"/>
    <col min="1069" max="1069" width="27" customWidth="1"/>
    <col min="1070" max="1070" width="12.1796875" customWidth="1"/>
    <col min="1071" max="1071" width="12.453125" bestFit="1" customWidth="1"/>
    <col min="1074" max="1074" width="34.81640625" customWidth="1"/>
    <col min="1079" max="1079" width="9.453125" customWidth="1"/>
    <col min="1285" max="1285" width="12" bestFit="1" customWidth="1"/>
    <col min="1286" max="1286" width="16.7265625" bestFit="1" customWidth="1"/>
    <col min="1287" max="1287" width="11.453125" customWidth="1"/>
    <col min="1288" max="1288" width="16.7265625" customWidth="1"/>
    <col min="1289" max="1289" width="11.453125" customWidth="1"/>
    <col min="1290" max="1290" width="10.1796875" customWidth="1"/>
    <col min="1291" max="1291" width="12.7265625" customWidth="1"/>
    <col min="1292" max="1292" width="11.54296875" customWidth="1"/>
    <col min="1293" max="1293" width="12" bestFit="1" customWidth="1"/>
    <col min="1294" max="1294" width="14" customWidth="1"/>
    <col min="1295" max="1295" width="11.54296875" customWidth="1"/>
    <col min="1296" max="1296" width="12.7265625" customWidth="1"/>
    <col min="1297" max="1297" width="12.54296875" customWidth="1"/>
    <col min="1298" max="1298" width="11.26953125" customWidth="1"/>
    <col min="1299" max="1299" width="34.54296875" customWidth="1"/>
    <col min="1300" max="1300" width="11" bestFit="1" customWidth="1"/>
    <col min="1302" max="1302" width="14.26953125" customWidth="1"/>
    <col min="1305" max="1305" width="39.453125" customWidth="1"/>
    <col min="1307" max="1307" width="22.26953125" customWidth="1"/>
    <col min="1311" max="1311" width="21.26953125" customWidth="1"/>
    <col min="1315" max="1315" width="20.26953125" customWidth="1"/>
    <col min="1319" max="1319" width="34.453125" customWidth="1"/>
    <col min="1320" max="1320" width="26.54296875" customWidth="1"/>
    <col min="1321" max="1321" width="16.453125" customWidth="1"/>
    <col min="1322" max="1323" width="20.1796875" customWidth="1"/>
    <col min="1324" max="1324" width="37.1796875" customWidth="1"/>
    <col min="1325" max="1325" width="27" customWidth="1"/>
    <col min="1326" max="1326" width="12.1796875" customWidth="1"/>
    <col min="1327" max="1327" width="12.453125" bestFit="1" customWidth="1"/>
    <col min="1330" max="1330" width="34.81640625" customWidth="1"/>
    <col min="1335" max="1335" width="9.453125" customWidth="1"/>
    <col min="1541" max="1541" width="12" bestFit="1" customWidth="1"/>
    <col min="1542" max="1542" width="16.7265625" bestFit="1" customWidth="1"/>
    <col min="1543" max="1543" width="11.453125" customWidth="1"/>
    <col min="1544" max="1544" width="16.7265625" customWidth="1"/>
    <col min="1545" max="1545" width="11.453125" customWidth="1"/>
    <col min="1546" max="1546" width="10.1796875" customWidth="1"/>
    <col min="1547" max="1547" width="12.7265625" customWidth="1"/>
    <col min="1548" max="1548" width="11.54296875" customWidth="1"/>
    <col min="1549" max="1549" width="12" bestFit="1" customWidth="1"/>
    <col min="1550" max="1550" width="14" customWidth="1"/>
    <col min="1551" max="1551" width="11.54296875" customWidth="1"/>
    <col min="1552" max="1552" width="12.7265625" customWidth="1"/>
    <col min="1553" max="1553" width="12.54296875" customWidth="1"/>
    <col min="1554" max="1554" width="11.26953125" customWidth="1"/>
    <col min="1555" max="1555" width="34.54296875" customWidth="1"/>
    <col min="1556" max="1556" width="11" bestFit="1" customWidth="1"/>
    <col min="1558" max="1558" width="14.26953125" customWidth="1"/>
    <col min="1561" max="1561" width="39.453125" customWidth="1"/>
    <col min="1563" max="1563" width="22.26953125" customWidth="1"/>
    <col min="1567" max="1567" width="21.26953125" customWidth="1"/>
    <col min="1571" max="1571" width="20.26953125" customWidth="1"/>
    <col min="1575" max="1575" width="34.453125" customWidth="1"/>
    <col min="1576" max="1576" width="26.54296875" customWidth="1"/>
    <col min="1577" max="1577" width="16.453125" customWidth="1"/>
    <col min="1578" max="1579" width="20.1796875" customWidth="1"/>
    <col min="1580" max="1580" width="37.1796875" customWidth="1"/>
    <col min="1581" max="1581" width="27" customWidth="1"/>
    <col min="1582" max="1582" width="12.1796875" customWidth="1"/>
    <col min="1583" max="1583" width="12.453125" bestFit="1" customWidth="1"/>
    <col min="1586" max="1586" width="34.81640625" customWidth="1"/>
    <col min="1591" max="1591" width="9.453125" customWidth="1"/>
    <col min="1797" max="1797" width="12" bestFit="1" customWidth="1"/>
    <col min="1798" max="1798" width="16.7265625" bestFit="1" customWidth="1"/>
    <col min="1799" max="1799" width="11.453125" customWidth="1"/>
    <col min="1800" max="1800" width="16.7265625" customWidth="1"/>
    <col min="1801" max="1801" width="11.453125" customWidth="1"/>
    <col min="1802" max="1802" width="10.1796875" customWidth="1"/>
    <col min="1803" max="1803" width="12.7265625" customWidth="1"/>
    <col min="1804" max="1804" width="11.54296875" customWidth="1"/>
    <col min="1805" max="1805" width="12" bestFit="1" customWidth="1"/>
    <col min="1806" max="1806" width="14" customWidth="1"/>
    <col min="1807" max="1807" width="11.54296875" customWidth="1"/>
    <col min="1808" max="1808" width="12.7265625" customWidth="1"/>
    <col min="1809" max="1809" width="12.54296875" customWidth="1"/>
    <col min="1810" max="1810" width="11.26953125" customWidth="1"/>
    <col min="1811" max="1811" width="34.54296875" customWidth="1"/>
    <col min="1812" max="1812" width="11" bestFit="1" customWidth="1"/>
    <col min="1814" max="1814" width="14.26953125" customWidth="1"/>
    <col min="1817" max="1817" width="39.453125" customWidth="1"/>
    <col min="1819" max="1819" width="22.26953125" customWidth="1"/>
    <col min="1823" max="1823" width="21.26953125" customWidth="1"/>
    <col min="1827" max="1827" width="20.26953125" customWidth="1"/>
    <col min="1831" max="1831" width="34.453125" customWidth="1"/>
    <col min="1832" max="1832" width="26.54296875" customWidth="1"/>
    <col min="1833" max="1833" width="16.453125" customWidth="1"/>
    <col min="1834" max="1835" width="20.1796875" customWidth="1"/>
    <col min="1836" max="1836" width="37.1796875" customWidth="1"/>
    <col min="1837" max="1837" width="27" customWidth="1"/>
    <col min="1838" max="1838" width="12.1796875" customWidth="1"/>
    <col min="1839" max="1839" width="12.453125" bestFit="1" customWidth="1"/>
    <col min="1842" max="1842" width="34.81640625" customWidth="1"/>
    <col min="1847" max="1847" width="9.453125" customWidth="1"/>
    <col min="2053" max="2053" width="12" bestFit="1" customWidth="1"/>
    <col min="2054" max="2054" width="16.7265625" bestFit="1" customWidth="1"/>
    <col min="2055" max="2055" width="11.453125" customWidth="1"/>
    <col min="2056" max="2056" width="16.7265625" customWidth="1"/>
    <col min="2057" max="2057" width="11.453125" customWidth="1"/>
    <col min="2058" max="2058" width="10.1796875" customWidth="1"/>
    <col min="2059" max="2059" width="12.7265625" customWidth="1"/>
    <col min="2060" max="2060" width="11.54296875" customWidth="1"/>
    <col min="2061" max="2061" width="12" bestFit="1" customWidth="1"/>
    <col min="2062" max="2062" width="14" customWidth="1"/>
    <col min="2063" max="2063" width="11.54296875" customWidth="1"/>
    <col min="2064" max="2064" width="12.7265625" customWidth="1"/>
    <col min="2065" max="2065" width="12.54296875" customWidth="1"/>
    <col min="2066" max="2066" width="11.26953125" customWidth="1"/>
    <col min="2067" max="2067" width="34.54296875" customWidth="1"/>
    <col min="2068" max="2068" width="11" bestFit="1" customWidth="1"/>
    <col min="2070" max="2070" width="14.26953125" customWidth="1"/>
    <col min="2073" max="2073" width="39.453125" customWidth="1"/>
    <col min="2075" max="2075" width="22.26953125" customWidth="1"/>
    <col min="2079" max="2079" width="21.26953125" customWidth="1"/>
    <col min="2083" max="2083" width="20.26953125" customWidth="1"/>
    <col min="2087" max="2087" width="34.453125" customWidth="1"/>
    <col min="2088" max="2088" width="26.54296875" customWidth="1"/>
    <col min="2089" max="2089" width="16.453125" customWidth="1"/>
    <col min="2090" max="2091" width="20.1796875" customWidth="1"/>
    <col min="2092" max="2092" width="37.1796875" customWidth="1"/>
    <col min="2093" max="2093" width="27" customWidth="1"/>
    <col min="2094" max="2094" width="12.1796875" customWidth="1"/>
    <col min="2095" max="2095" width="12.453125" bestFit="1" customWidth="1"/>
    <col min="2098" max="2098" width="34.81640625" customWidth="1"/>
    <col min="2103" max="2103" width="9.453125" customWidth="1"/>
    <col min="2309" max="2309" width="12" bestFit="1" customWidth="1"/>
    <col min="2310" max="2310" width="16.7265625" bestFit="1" customWidth="1"/>
    <col min="2311" max="2311" width="11.453125" customWidth="1"/>
    <col min="2312" max="2312" width="16.7265625" customWidth="1"/>
    <col min="2313" max="2313" width="11.453125" customWidth="1"/>
    <col min="2314" max="2314" width="10.1796875" customWidth="1"/>
    <col min="2315" max="2315" width="12.7265625" customWidth="1"/>
    <col min="2316" max="2316" width="11.54296875" customWidth="1"/>
    <col min="2317" max="2317" width="12" bestFit="1" customWidth="1"/>
    <col min="2318" max="2318" width="14" customWidth="1"/>
    <col min="2319" max="2319" width="11.54296875" customWidth="1"/>
    <col min="2320" max="2320" width="12.7265625" customWidth="1"/>
    <col min="2321" max="2321" width="12.54296875" customWidth="1"/>
    <col min="2322" max="2322" width="11.26953125" customWidth="1"/>
    <col min="2323" max="2323" width="34.54296875" customWidth="1"/>
    <col min="2324" max="2324" width="11" bestFit="1" customWidth="1"/>
    <col min="2326" max="2326" width="14.26953125" customWidth="1"/>
    <col min="2329" max="2329" width="39.453125" customWidth="1"/>
    <col min="2331" max="2331" width="22.26953125" customWidth="1"/>
    <col min="2335" max="2335" width="21.26953125" customWidth="1"/>
    <col min="2339" max="2339" width="20.26953125" customWidth="1"/>
    <col min="2343" max="2343" width="34.453125" customWidth="1"/>
    <col min="2344" max="2344" width="26.54296875" customWidth="1"/>
    <col min="2345" max="2345" width="16.453125" customWidth="1"/>
    <col min="2346" max="2347" width="20.1796875" customWidth="1"/>
    <col min="2348" max="2348" width="37.1796875" customWidth="1"/>
    <col min="2349" max="2349" width="27" customWidth="1"/>
    <col min="2350" max="2350" width="12.1796875" customWidth="1"/>
    <col min="2351" max="2351" width="12.453125" bestFit="1" customWidth="1"/>
    <col min="2354" max="2354" width="34.81640625" customWidth="1"/>
    <col min="2359" max="2359" width="9.453125" customWidth="1"/>
    <col min="2565" max="2565" width="12" bestFit="1" customWidth="1"/>
    <col min="2566" max="2566" width="16.7265625" bestFit="1" customWidth="1"/>
    <col min="2567" max="2567" width="11.453125" customWidth="1"/>
    <col min="2568" max="2568" width="16.7265625" customWidth="1"/>
    <col min="2569" max="2569" width="11.453125" customWidth="1"/>
    <col min="2570" max="2570" width="10.1796875" customWidth="1"/>
    <col min="2571" max="2571" width="12.7265625" customWidth="1"/>
    <col min="2572" max="2572" width="11.54296875" customWidth="1"/>
    <col min="2573" max="2573" width="12" bestFit="1" customWidth="1"/>
    <col min="2574" max="2574" width="14" customWidth="1"/>
    <col min="2575" max="2575" width="11.54296875" customWidth="1"/>
    <col min="2576" max="2576" width="12.7265625" customWidth="1"/>
    <col min="2577" max="2577" width="12.54296875" customWidth="1"/>
    <col min="2578" max="2578" width="11.26953125" customWidth="1"/>
    <col min="2579" max="2579" width="34.54296875" customWidth="1"/>
    <col min="2580" max="2580" width="11" bestFit="1" customWidth="1"/>
    <col min="2582" max="2582" width="14.26953125" customWidth="1"/>
    <col min="2585" max="2585" width="39.453125" customWidth="1"/>
    <col min="2587" max="2587" width="22.26953125" customWidth="1"/>
    <col min="2591" max="2591" width="21.26953125" customWidth="1"/>
    <col min="2595" max="2595" width="20.26953125" customWidth="1"/>
    <col min="2599" max="2599" width="34.453125" customWidth="1"/>
    <col min="2600" max="2600" width="26.54296875" customWidth="1"/>
    <col min="2601" max="2601" width="16.453125" customWidth="1"/>
    <col min="2602" max="2603" width="20.1796875" customWidth="1"/>
    <col min="2604" max="2604" width="37.1796875" customWidth="1"/>
    <col min="2605" max="2605" width="27" customWidth="1"/>
    <col min="2606" max="2606" width="12.1796875" customWidth="1"/>
    <col min="2607" max="2607" width="12.453125" bestFit="1" customWidth="1"/>
    <col min="2610" max="2610" width="34.81640625" customWidth="1"/>
    <col min="2615" max="2615" width="9.453125" customWidth="1"/>
    <col min="2821" max="2821" width="12" bestFit="1" customWidth="1"/>
    <col min="2822" max="2822" width="16.7265625" bestFit="1" customWidth="1"/>
    <col min="2823" max="2823" width="11.453125" customWidth="1"/>
    <col min="2824" max="2824" width="16.7265625" customWidth="1"/>
    <col min="2825" max="2825" width="11.453125" customWidth="1"/>
    <col min="2826" max="2826" width="10.1796875" customWidth="1"/>
    <col min="2827" max="2827" width="12.7265625" customWidth="1"/>
    <col min="2828" max="2828" width="11.54296875" customWidth="1"/>
    <col min="2829" max="2829" width="12" bestFit="1" customWidth="1"/>
    <col min="2830" max="2830" width="14" customWidth="1"/>
    <col min="2831" max="2831" width="11.54296875" customWidth="1"/>
    <col min="2832" max="2832" width="12.7265625" customWidth="1"/>
    <col min="2833" max="2833" width="12.54296875" customWidth="1"/>
    <col min="2834" max="2834" width="11.26953125" customWidth="1"/>
    <col min="2835" max="2835" width="34.54296875" customWidth="1"/>
    <col min="2836" max="2836" width="11" bestFit="1" customWidth="1"/>
    <col min="2838" max="2838" width="14.26953125" customWidth="1"/>
    <col min="2841" max="2841" width="39.453125" customWidth="1"/>
    <col min="2843" max="2843" width="22.26953125" customWidth="1"/>
    <col min="2847" max="2847" width="21.26953125" customWidth="1"/>
    <col min="2851" max="2851" width="20.26953125" customWidth="1"/>
    <col min="2855" max="2855" width="34.453125" customWidth="1"/>
    <col min="2856" max="2856" width="26.54296875" customWidth="1"/>
    <col min="2857" max="2857" width="16.453125" customWidth="1"/>
    <col min="2858" max="2859" width="20.1796875" customWidth="1"/>
    <col min="2860" max="2860" width="37.1796875" customWidth="1"/>
    <col min="2861" max="2861" width="27" customWidth="1"/>
    <col min="2862" max="2862" width="12.1796875" customWidth="1"/>
    <col min="2863" max="2863" width="12.453125" bestFit="1" customWidth="1"/>
    <col min="2866" max="2866" width="34.81640625" customWidth="1"/>
    <col min="2871" max="2871" width="9.453125" customWidth="1"/>
    <col min="3077" max="3077" width="12" bestFit="1" customWidth="1"/>
    <col min="3078" max="3078" width="16.7265625" bestFit="1" customWidth="1"/>
    <col min="3079" max="3079" width="11.453125" customWidth="1"/>
    <col min="3080" max="3080" width="16.7265625" customWidth="1"/>
    <col min="3081" max="3081" width="11.453125" customWidth="1"/>
    <col min="3082" max="3082" width="10.1796875" customWidth="1"/>
    <col min="3083" max="3083" width="12.7265625" customWidth="1"/>
    <col min="3084" max="3084" width="11.54296875" customWidth="1"/>
    <col min="3085" max="3085" width="12" bestFit="1" customWidth="1"/>
    <col min="3086" max="3086" width="14" customWidth="1"/>
    <col min="3087" max="3087" width="11.54296875" customWidth="1"/>
    <col min="3088" max="3088" width="12.7265625" customWidth="1"/>
    <col min="3089" max="3089" width="12.54296875" customWidth="1"/>
    <col min="3090" max="3090" width="11.26953125" customWidth="1"/>
    <col min="3091" max="3091" width="34.54296875" customWidth="1"/>
    <col min="3092" max="3092" width="11" bestFit="1" customWidth="1"/>
    <col min="3094" max="3094" width="14.26953125" customWidth="1"/>
    <col min="3097" max="3097" width="39.453125" customWidth="1"/>
    <col min="3099" max="3099" width="22.26953125" customWidth="1"/>
    <col min="3103" max="3103" width="21.26953125" customWidth="1"/>
    <col min="3107" max="3107" width="20.26953125" customWidth="1"/>
    <col min="3111" max="3111" width="34.453125" customWidth="1"/>
    <col min="3112" max="3112" width="26.54296875" customWidth="1"/>
    <col min="3113" max="3113" width="16.453125" customWidth="1"/>
    <col min="3114" max="3115" width="20.1796875" customWidth="1"/>
    <col min="3116" max="3116" width="37.1796875" customWidth="1"/>
    <col min="3117" max="3117" width="27" customWidth="1"/>
    <col min="3118" max="3118" width="12.1796875" customWidth="1"/>
    <col min="3119" max="3119" width="12.453125" bestFit="1" customWidth="1"/>
    <col min="3122" max="3122" width="34.81640625" customWidth="1"/>
    <col min="3127" max="3127" width="9.453125" customWidth="1"/>
    <col min="3333" max="3333" width="12" bestFit="1" customWidth="1"/>
    <col min="3334" max="3334" width="16.7265625" bestFit="1" customWidth="1"/>
    <col min="3335" max="3335" width="11.453125" customWidth="1"/>
    <col min="3336" max="3336" width="16.7265625" customWidth="1"/>
    <col min="3337" max="3337" width="11.453125" customWidth="1"/>
    <col min="3338" max="3338" width="10.1796875" customWidth="1"/>
    <col min="3339" max="3339" width="12.7265625" customWidth="1"/>
    <col min="3340" max="3340" width="11.54296875" customWidth="1"/>
    <col min="3341" max="3341" width="12" bestFit="1" customWidth="1"/>
    <col min="3342" max="3342" width="14" customWidth="1"/>
    <col min="3343" max="3343" width="11.54296875" customWidth="1"/>
    <col min="3344" max="3344" width="12.7265625" customWidth="1"/>
    <col min="3345" max="3345" width="12.54296875" customWidth="1"/>
    <col min="3346" max="3346" width="11.26953125" customWidth="1"/>
    <col min="3347" max="3347" width="34.54296875" customWidth="1"/>
    <col min="3348" max="3348" width="11" bestFit="1" customWidth="1"/>
    <col min="3350" max="3350" width="14.26953125" customWidth="1"/>
    <col min="3353" max="3353" width="39.453125" customWidth="1"/>
    <col min="3355" max="3355" width="22.26953125" customWidth="1"/>
    <col min="3359" max="3359" width="21.26953125" customWidth="1"/>
    <col min="3363" max="3363" width="20.26953125" customWidth="1"/>
    <col min="3367" max="3367" width="34.453125" customWidth="1"/>
    <col min="3368" max="3368" width="26.54296875" customWidth="1"/>
    <col min="3369" max="3369" width="16.453125" customWidth="1"/>
    <col min="3370" max="3371" width="20.1796875" customWidth="1"/>
    <col min="3372" max="3372" width="37.1796875" customWidth="1"/>
    <col min="3373" max="3373" width="27" customWidth="1"/>
    <col min="3374" max="3374" width="12.1796875" customWidth="1"/>
    <col min="3375" max="3375" width="12.453125" bestFit="1" customWidth="1"/>
    <col min="3378" max="3378" width="34.81640625" customWidth="1"/>
    <col min="3383" max="3383" width="9.453125" customWidth="1"/>
    <col min="3589" max="3589" width="12" bestFit="1" customWidth="1"/>
    <col min="3590" max="3590" width="16.7265625" bestFit="1" customWidth="1"/>
    <col min="3591" max="3591" width="11.453125" customWidth="1"/>
    <col min="3592" max="3592" width="16.7265625" customWidth="1"/>
    <col min="3593" max="3593" width="11.453125" customWidth="1"/>
    <col min="3594" max="3594" width="10.1796875" customWidth="1"/>
    <col min="3595" max="3595" width="12.7265625" customWidth="1"/>
    <col min="3596" max="3596" width="11.54296875" customWidth="1"/>
    <col min="3597" max="3597" width="12" bestFit="1" customWidth="1"/>
    <col min="3598" max="3598" width="14" customWidth="1"/>
    <col min="3599" max="3599" width="11.54296875" customWidth="1"/>
    <col min="3600" max="3600" width="12.7265625" customWidth="1"/>
    <col min="3601" max="3601" width="12.54296875" customWidth="1"/>
    <col min="3602" max="3602" width="11.26953125" customWidth="1"/>
    <col min="3603" max="3603" width="34.54296875" customWidth="1"/>
    <col min="3604" max="3604" width="11" bestFit="1" customWidth="1"/>
    <col min="3606" max="3606" width="14.26953125" customWidth="1"/>
    <col min="3609" max="3609" width="39.453125" customWidth="1"/>
    <col min="3611" max="3611" width="22.26953125" customWidth="1"/>
    <col min="3615" max="3615" width="21.26953125" customWidth="1"/>
    <col min="3619" max="3619" width="20.26953125" customWidth="1"/>
    <col min="3623" max="3623" width="34.453125" customWidth="1"/>
    <col min="3624" max="3624" width="26.54296875" customWidth="1"/>
    <col min="3625" max="3625" width="16.453125" customWidth="1"/>
    <col min="3626" max="3627" width="20.1796875" customWidth="1"/>
    <col min="3628" max="3628" width="37.1796875" customWidth="1"/>
    <col min="3629" max="3629" width="27" customWidth="1"/>
    <col min="3630" max="3630" width="12.1796875" customWidth="1"/>
    <col min="3631" max="3631" width="12.453125" bestFit="1" customWidth="1"/>
    <col min="3634" max="3634" width="34.81640625" customWidth="1"/>
    <col min="3639" max="3639" width="9.453125" customWidth="1"/>
    <col min="3845" max="3845" width="12" bestFit="1" customWidth="1"/>
    <col min="3846" max="3846" width="16.7265625" bestFit="1" customWidth="1"/>
    <col min="3847" max="3847" width="11.453125" customWidth="1"/>
    <col min="3848" max="3848" width="16.7265625" customWidth="1"/>
    <col min="3849" max="3849" width="11.453125" customWidth="1"/>
    <col min="3850" max="3850" width="10.1796875" customWidth="1"/>
    <col min="3851" max="3851" width="12.7265625" customWidth="1"/>
    <col min="3852" max="3852" width="11.54296875" customWidth="1"/>
    <col min="3853" max="3853" width="12" bestFit="1" customWidth="1"/>
    <col min="3854" max="3854" width="14" customWidth="1"/>
    <col min="3855" max="3855" width="11.54296875" customWidth="1"/>
    <col min="3856" max="3856" width="12.7265625" customWidth="1"/>
    <col min="3857" max="3857" width="12.54296875" customWidth="1"/>
    <col min="3858" max="3858" width="11.26953125" customWidth="1"/>
    <col min="3859" max="3859" width="34.54296875" customWidth="1"/>
    <col min="3860" max="3860" width="11" bestFit="1" customWidth="1"/>
    <col min="3862" max="3862" width="14.26953125" customWidth="1"/>
    <col min="3865" max="3865" width="39.453125" customWidth="1"/>
    <col min="3867" max="3867" width="22.26953125" customWidth="1"/>
    <col min="3871" max="3871" width="21.26953125" customWidth="1"/>
    <col min="3875" max="3875" width="20.26953125" customWidth="1"/>
    <col min="3879" max="3879" width="34.453125" customWidth="1"/>
    <col min="3880" max="3880" width="26.54296875" customWidth="1"/>
    <col min="3881" max="3881" width="16.453125" customWidth="1"/>
    <col min="3882" max="3883" width="20.1796875" customWidth="1"/>
    <col min="3884" max="3884" width="37.1796875" customWidth="1"/>
    <col min="3885" max="3885" width="27" customWidth="1"/>
    <col min="3886" max="3886" width="12.1796875" customWidth="1"/>
    <col min="3887" max="3887" width="12.453125" bestFit="1" customWidth="1"/>
    <col min="3890" max="3890" width="34.81640625" customWidth="1"/>
    <col min="3895" max="3895" width="9.453125" customWidth="1"/>
    <col min="4101" max="4101" width="12" bestFit="1" customWidth="1"/>
    <col min="4102" max="4102" width="16.7265625" bestFit="1" customWidth="1"/>
    <col min="4103" max="4103" width="11.453125" customWidth="1"/>
    <col min="4104" max="4104" width="16.7265625" customWidth="1"/>
    <col min="4105" max="4105" width="11.453125" customWidth="1"/>
    <col min="4106" max="4106" width="10.1796875" customWidth="1"/>
    <col min="4107" max="4107" width="12.7265625" customWidth="1"/>
    <col min="4108" max="4108" width="11.54296875" customWidth="1"/>
    <col min="4109" max="4109" width="12" bestFit="1" customWidth="1"/>
    <col min="4110" max="4110" width="14" customWidth="1"/>
    <col min="4111" max="4111" width="11.54296875" customWidth="1"/>
    <col min="4112" max="4112" width="12.7265625" customWidth="1"/>
    <col min="4113" max="4113" width="12.54296875" customWidth="1"/>
    <col min="4114" max="4114" width="11.26953125" customWidth="1"/>
    <col min="4115" max="4115" width="34.54296875" customWidth="1"/>
    <col min="4116" max="4116" width="11" bestFit="1" customWidth="1"/>
    <col min="4118" max="4118" width="14.26953125" customWidth="1"/>
    <col min="4121" max="4121" width="39.453125" customWidth="1"/>
    <col min="4123" max="4123" width="22.26953125" customWidth="1"/>
    <col min="4127" max="4127" width="21.26953125" customWidth="1"/>
    <col min="4131" max="4131" width="20.26953125" customWidth="1"/>
    <col min="4135" max="4135" width="34.453125" customWidth="1"/>
    <col min="4136" max="4136" width="26.54296875" customWidth="1"/>
    <col min="4137" max="4137" width="16.453125" customWidth="1"/>
    <col min="4138" max="4139" width="20.1796875" customWidth="1"/>
    <col min="4140" max="4140" width="37.1796875" customWidth="1"/>
    <col min="4141" max="4141" width="27" customWidth="1"/>
    <col min="4142" max="4142" width="12.1796875" customWidth="1"/>
    <col min="4143" max="4143" width="12.453125" bestFit="1" customWidth="1"/>
    <col min="4146" max="4146" width="34.81640625" customWidth="1"/>
    <col min="4151" max="4151" width="9.453125" customWidth="1"/>
    <col min="4357" max="4357" width="12" bestFit="1" customWidth="1"/>
    <col min="4358" max="4358" width="16.7265625" bestFit="1" customWidth="1"/>
    <col min="4359" max="4359" width="11.453125" customWidth="1"/>
    <col min="4360" max="4360" width="16.7265625" customWidth="1"/>
    <col min="4361" max="4361" width="11.453125" customWidth="1"/>
    <col min="4362" max="4362" width="10.1796875" customWidth="1"/>
    <col min="4363" max="4363" width="12.7265625" customWidth="1"/>
    <col min="4364" max="4364" width="11.54296875" customWidth="1"/>
    <col min="4365" max="4365" width="12" bestFit="1" customWidth="1"/>
    <col min="4366" max="4366" width="14" customWidth="1"/>
    <col min="4367" max="4367" width="11.54296875" customWidth="1"/>
    <col min="4368" max="4368" width="12.7265625" customWidth="1"/>
    <col min="4369" max="4369" width="12.54296875" customWidth="1"/>
    <col min="4370" max="4370" width="11.26953125" customWidth="1"/>
    <col min="4371" max="4371" width="34.54296875" customWidth="1"/>
    <col min="4372" max="4372" width="11" bestFit="1" customWidth="1"/>
    <col min="4374" max="4374" width="14.26953125" customWidth="1"/>
    <col min="4377" max="4377" width="39.453125" customWidth="1"/>
    <col min="4379" max="4379" width="22.26953125" customWidth="1"/>
    <col min="4383" max="4383" width="21.26953125" customWidth="1"/>
    <col min="4387" max="4387" width="20.26953125" customWidth="1"/>
    <col min="4391" max="4391" width="34.453125" customWidth="1"/>
    <col min="4392" max="4392" width="26.54296875" customWidth="1"/>
    <col min="4393" max="4393" width="16.453125" customWidth="1"/>
    <col min="4394" max="4395" width="20.1796875" customWidth="1"/>
    <col min="4396" max="4396" width="37.1796875" customWidth="1"/>
    <col min="4397" max="4397" width="27" customWidth="1"/>
    <col min="4398" max="4398" width="12.1796875" customWidth="1"/>
    <col min="4399" max="4399" width="12.453125" bestFit="1" customWidth="1"/>
    <col min="4402" max="4402" width="34.81640625" customWidth="1"/>
    <col min="4407" max="4407" width="9.453125" customWidth="1"/>
    <col min="4613" max="4613" width="12" bestFit="1" customWidth="1"/>
    <col min="4614" max="4614" width="16.7265625" bestFit="1" customWidth="1"/>
    <col min="4615" max="4615" width="11.453125" customWidth="1"/>
    <col min="4616" max="4616" width="16.7265625" customWidth="1"/>
    <col min="4617" max="4617" width="11.453125" customWidth="1"/>
    <col min="4618" max="4618" width="10.1796875" customWidth="1"/>
    <col min="4619" max="4619" width="12.7265625" customWidth="1"/>
    <col min="4620" max="4620" width="11.54296875" customWidth="1"/>
    <col min="4621" max="4621" width="12" bestFit="1" customWidth="1"/>
    <col min="4622" max="4622" width="14" customWidth="1"/>
    <col min="4623" max="4623" width="11.54296875" customWidth="1"/>
    <col min="4624" max="4624" width="12.7265625" customWidth="1"/>
    <col min="4625" max="4625" width="12.54296875" customWidth="1"/>
    <col min="4626" max="4626" width="11.26953125" customWidth="1"/>
    <col min="4627" max="4627" width="34.54296875" customWidth="1"/>
    <col min="4628" max="4628" width="11" bestFit="1" customWidth="1"/>
    <col min="4630" max="4630" width="14.26953125" customWidth="1"/>
    <col min="4633" max="4633" width="39.453125" customWidth="1"/>
    <col min="4635" max="4635" width="22.26953125" customWidth="1"/>
    <col min="4639" max="4639" width="21.26953125" customWidth="1"/>
    <col min="4643" max="4643" width="20.26953125" customWidth="1"/>
    <col min="4647" max="4647" width="34.453125" customWidth="1"/>
    <col min="4648" max="4648" width="26.54296875" customWidth="1"/>
    <col min="4649" max="4649" width="16.453125" customWidth="1"/>
    <col min="4650" max="4651" width="20.1796875" customWidth="1"/>
    <col min="4652" max="4652" width="37.1796875" customWidth="1"/>
    <col min="4653" max="4653" width="27" customWidth="1"/>
    <col min="4654" max="4654" width="12.1796875" customWidth="1"/>
    <col min="4655" max="4655" width="12.453125" bestFit="1" customWidth="1"/>
    <col min="4658" max="4658" width="34.81640625" customWidth="1"/>
    <col min="4663" max="4663" width="9.453125" customWidth="1"/>
    <col min="4869" max="4869" width="12" bestFit="1" customWidth="1"/>
    <col min="4870" max="4870" width="16.7265625" bestFit="1" customWidth="1"/>
    <col min="4871" max="4871" width="11.453125" customWidth="1"/>
    <col min="4872" max="4872" width="16.7265625" customWidth="1"/>
    <col min="4873" max="4873" width="11.453125" customWidth="1"/>
    <col min="4874" max="4874" width="10.1796875" customWidth="1"/>
    <col min="4875" max="4875" width="12.7265625" customWidth="1"/>
    <col min="4876" max="4876" width="11.54296875" customWidth="1"/>
    <col min="4877" max="4877" width="12" bestFit="1" customWidth="1"/>
    <col min="4878" max="4878" width="14" customWidth="1"/>
    <col min="4879" max="4879" width="11.54296875" customWidth="1"/>
    <col min="4880" max="4880" width="12.7265625" customWidth="1"/>
    <col min="4881" max="4881" width="12.54296875" customWidth="1"/>
    <col min="4882" max="4882" width="11.26953125" customWidth="1"/>
    <col min="4883" max="4883" width="34.54296875" customWidth="1"/>
    <col min="4884" max="4884" width="11" bestFit="1" customWidth="1"/>
    <col min="4886" max="4886" width="14.26953125" customWidth="1"/>
    <col min="4889" max="4889" width="39.453125" customWidth="1"/>
    <col min="4891" max="4891" width="22.26953125" customWidth="1"/>
    <col min="4895" max="4895" width="21.26953125" customWidth="1"/>
    <col min="4899" max="4899" width="20.26953125" customWidth="1"/>
    <col min="4903" max="4903" width="34.453125" customWidth="1"/>
    <col min="4904" max="4904" width="26.54296875" customWidth="1"/>
    <col min="4905" max="4905" width="16.453125" customWidth="1"/>
    <col min="4906" max="4907" width="20.1796875" customWidth="1"/>
    <col min="4908" max="4908" width="37.1796875" customWidth="1"/>
    <col min="4909" max="4909" width="27" customWidth="1"/>
    <col min="4910" max="4910" width="12.1796875" customWidth="1"/>
    <col min="4911" max="4911" width="12.453125" bestFit="1" customWidth="1"/>
    <col min="4914" max="4914" width="34.81640625" customWidth="1"/>
    <col min="4919" max="4919" width="9.453125" customWidth="1"/>
    <col min="5125" max="5125" width="12" bestFit="1" customWidth="1"/>
    <col min="5126" max="5126" width="16.7265625" bestFit="1" customWidth="1"/>
    <col min="5127" max="5127" width="11.453125" customWidth="1"/>
    <col min="5128" max="5128" width="16.7265625" customWidth="1"/>
    <col min="5129" max="5129" width="11.453125" customWidth="1"/>
    <col min="5130" max="5130" width="10.1796875" customWidth="1"/>
    <col min="5131" max="5131" width="12.7265625" customWidth="1"/>
    <col min="5132" max="5132" width="11.54296875" customWidth="1"/>
    <col min="5133" max="5133" width="12" bestFit="1" customWidth="1"/>
    <col min="5134" max="5134" width="14" customWidth="1"/>
    <col min="5135" max="5135" width="11.54296875" customWidth="1"/>
    <col min="5136" max="5136" width="12.7265625" customWidth="1"/>
    <col min="5137" max="5137" width="12.54296875" customWidth="1"/>
    <col min="5138" max="5138" width="11.26953125" customWidth="1"/>
    <col min="5139" max="5139" width="34.54296875" customWidth="1"/>
    <col min="5140" max="5140" width="11" bestFit="1" customWidth="1"/>
    <col min="5142" max="5142" width="14.26953125" customWidth="1"/>
    <col min="5145" max="5145" width="39.453125" customWidth="1"/>
    <col min="5147" max="5147" width="22.26953125" customWidth="1"/>
    <col min="5151" max="5151" width="21.26953125" customWidth="1"/>
    <col min="5155" max="5155" width="20.26953125" customWidth="1"/>
    <col min="5159" max="5159" width="34.453125" customWidth="1"/>
    <col min="5160" max="5160" width="26.54296875" customWidth="1"/>
    <col min="5161" max="5161" width="16.453125" customWidth="1"/>
    <col min="5162" max="5163" width="20.1796875" customWidth="1"/>
    <col min="5164" max="5164" width="37.1796875" customWidth="1"/>
    <col min="5165" max="5165" width="27" customWidth="1"/>
    <col min="5166" max="5166" width="12.1796875" customWidth="1"/>
    <col min="5167" max="5167" width="12.453125" bestFit="1" customWidth="1"/>
    <col min="5170" max="5170" width="34.81640625" customWidth="1"/>
    <col min="5175" max="5175" width="9.453125" customWidth="1"/>
    <col min="5381" max="5381" width="12" bestFit="1" customWidth="1"/>
    <col min="5382" max="5382" width="16.7265625" bestFit="1" customWidth="1"/>
    <col min="5383" max="5383" width="11.453125" customWidth="1"/>
    <col min="5384" max="5384" width="16.7265625" customWidth="1"/>
    <col min="5385" max="5385" width="11.453125" customWidth="1"/>
    <col min="5386" max="5386" width="10.1796875" customWidth="1"/>
    <col min="5387" max="5387" width="12.7265625" customWidth="1"/>
    <col min="5388" max="5388" width="11.54296875" customWidth="1"/>
    <col min="5389" max="5389" width="12" bestFit="1" customWidth="1"/>
    <col min="5390" max="5390" width="14" customWidth="1"/>
    <col min="5391" max="5391" width="11.54296875" customWidth="1"/>
    <col min="5392" max="5392" width="12.7265625" customWidth="1"/>
    <col min="5393" max="5393" width="12.54296875" customWidth="1"/>
    <col min="5394" max="5394" width="11.26953125" customWidth="1"/>
    <col min="5395" max="5395" width="34.54296875" customWidth="1"/>
    <col min="5396" max="5396" width="11" bestFit="1" customWidth="1"/>
    <col min="5398" max="5398" width="14.26953125" customWidth="1"/>
    <col min="5401" max="5401" width="39.453125" customWidth="1"/>
    <col min="5403" max="5403" width="22.26953125" customWidth="1"/>
    <col min="5407" max="5407" width="21.26953125" customWidth="1"/>
    <col min="5411" max="5411" width="20.26953125" customWidth="1"/>
    <col min="5415" max="5415" width="34.453125" customWidth="1"/>
    <col min="5416" max="5416" width="26.54296875" customWidth="1"/>
    <col min="5417" max="5417" width="16.453125" customWidth="1"/>
    <col min="5418" max="5419" width="20.1796875" customWidth="1"/>
    <col min="5420" max="5420" width="37.1796875" customWidth="1"/>
    <col min="5421" max="5421" width="27" customWidth="1"/>
    <col min="5422" max="5422" width="12.1796875" customWidth="1"/>
    <col min="5423" max="5423" width="12.453125" bestFit="1" customWidth="1"/>
    <col min="5426" max="5426" width="34.81640625" customWidth="1"/>
    <col min="5431" max="5431" width="9.453125" customWidth="1"/>
    <col min="5637" max="5637" width="12" bestFit="1" customWidth="1"/>
    <col min="5638" max="5638" width="16.7265625" bestFit="1" customWidth="1"/>
    <col min="5639" max="5639" width="11.453125" customWidth="1"/>
    <col min="5640" max="5640" width="16.7265625" customWidth="1"/>
    <col min="5641" max="5641" width="11.453125" customWidth="1"/>
    <col min="5642" max="5642" width="10.1796875" customWidth="1"/>
    <col min="5643" max="5643" width="12.7265625" customWidth="1"/>
    <col min="5644" max="5644" width="11.54296875" customWidth="1"/>
    <col min="5645" max="5645" width="12" bestFit="1" customWidth="1"/>
    <col min="5646" max="5646" width="14" customWidth="1"/>
    <col min="5647" max="5647" width="11.54296875" customWidth="1"/>
    <col min="5648" max="5648" width="12.7265625" customWidth="1"/>
    <col min="5649" max="5649" width="12.54296875" customWidth="1"/>
    <col min="5650" max="5650" width="11.26953125" customWidth="1"/>
    <col min="5651" max="5651" width="34.54296875" customWidth="1"/>
    <col min="5652" max="5652" width="11" bestFit="1" customWidth="1"/>
    <col min="5654" max="5654" width="14.26953125" customWidth="1"/>
    <col min="5657" max="5657" width="39.453125" customWidth="1"/>
    <col min="5659" max="5659" width="22.26953125" customWidth="1"/>
    <col min="5663" max="5663" width="21.26953125" customWidth="1"/>
    <col min="5667" max="5667" width="20.26953125" customWidth="1"/>
    <col min="5671" max="5671" width="34.453125" customWidth="1"/>
    <col min="5672" max="5672" width="26.54296875" customWidth="1"/>
    <col min="5673" max="5673" width="16.453125" customWidth="1"/>
    <col min="5674" max="5675" width="20.1796875" customWidth="1"/>
    <col min="5676" max="5676" width="37.1796875" customWidth="1"/>
    <col min="5677" max="5677" width="27" customWidth="1"/>
    <col min="5678" max="5678" width="12.1796875" customWidth="1"/>
    <col min="5679" max="5679" width="12.453125" bestFit="1" customWidth="1"/>
    <col min="5682" max="5682" width="34.81640625" customWidth="1"/>
    <col min="5687" max="5687" width="9.453125" customWidth="1"/>
    <col min="5893" max="5893" width="12" bestFit="1" customWidth="1"/>
    <col min="5894" max="5894" width="16.7265625" bestFit="1" customWidth="1"/>
    <col min="5895" max="5895" width="11.453125" customWidth="1"/>
    <col min="5896" max="5896" width="16.7265625" customWidth="1"/>
    <col min="5897" max="5897" width="11.453125" customWidth="1"/>
    <col min="5898" max="5898" width="10.1796875" customWidth="1"/>
    <col min="5899" max="5899" width="12.7265625" customWidth="1"/>
    <col min="5900" max="5900" width="11.54296875" customWidth="1"/>
    <col min="5901" max="5901" width="12" bestFit="1" customWidth="1"/>
    <col min="5902" max="5902" width="14" customWidth="1"/>
    <col min="5903" max="5903" width="11.54296875" customWidth="1"/>
    <col min="5904" max="5904" width="12.7265625" customWidth="1"/>
    <col min="5905" max="5905" width="12.54296875" customWidth="1"/>
    <col min="5906" max="5906" width="11.26953125" customWidth="1"/>
    <col min="5907" max="5907" width="34.54296875" customWidth="1"/>
    <col min="5908" max="5908" width="11" bestFit="1" customWidth="1"/>
    <col min="5910" max="5910" width="14.26953125" customWidth="1"/>
    <col min="5913" max="5913" width="39.453125" customWidth="1"/>
    <col min="5915" max="5915" width="22.26953125" customWidth="1"/>
    <col min="5919" max="5919" width="21.26953125" customWidth="1"/>
    <col min="5923" max="5923" width="20.26953125" customWidth="1"/>
    <col min="5927" max="5927" width="34.453125" customWidth="1"/>
    <col min="5928" max="5928" width="26.54296875" customWidth="1"/>
    <col min="5929" max="5929" width="16.453125" customWidth="1"/>
    <col min="5930" max="5931" width="20.1796875" customWidth="1"/>
    <col min="5932" max="5932" width="37.1796875" customWidth="1"/>
    <col min="5933" max="5933" width="27" customWidth="1"/>
    <col min="5934" max="5934" width="12.1796875" customWidth="1"/>
    <col min="5935" max="5935" width="12.453125" bestFit="1" customWidth="1"/>
    <col min="5938" max="5938" width="34.81640625" customWidth="1"/>
    <col min="5943" max="5943" width="9.453125" customWidth="1"/>
    <col min="6149" max="6149" width="12" bestFit="1" customWidth="1"/>
    <col min="6150" max="6150" width="16.7265625" bestFit="1" customWidth="1"/>
    <col min="6151" max="6151" width="11.453125" customWidth="1"/>
    <col min="6152" max="6152" width="16.7265625" customWidth="1"/>
    <col min="6153" max="6153" width="11.453125" customWidth="1"/>
    <col min="6154" max="6154" width="10.1796875" customWidth="1"/>
    <col min="6155" max="6155" width="12.7265625" customWidth="1"/>
    <col min="6156" max="6156" width="11.54296875" customWidth="1"/>
    <col min="6157" max="6157" width="12" bestFit="1" customWidth="1"/>
    <col min="6158" max="6158" width="14" customWidth="1"/>
    <col min="6159" max="6159" width="11.54296875" customWidth="1"/>
    <col min="6160" max="6160" width="12.7265625" customWidth="1"/>
    <col min="6161" max="6161" width="12.54296875" customWidth="1"/>
    <col min="6162" max="6162" width="11.26953125" customWidth="1"/>
    <col min="6163" max="6163" width="34.54296875" customWidth="1"/>
    <col min="6164" max="6164" width="11" bestFit="1" customWidth="1"/>
    <col min="6166" max="6166" width="14.26953125" customWidth="1"/>
    <col min="6169" max="6169" width="39.453125" customWidth="1"/>
    <col min="6171" max="6171" width="22.26953125" customWidth="1"/>
    <col min="6175" max="6175" width="21.26953125" customWidth="1"/>
    <col min="6179" max="6179" width="20.26953125" customWidth="1"/>
    <col min="6183" max="6183" width="34.453125" customWidth="1"/>
    <col min="6184" max="6184" width="26.54296875" customWidth="1"/>
    <col min="6185" max="6185" width="16.453125" customWidth="1"/>
    <col min="6186" max="6187" width="20.1796875" customWidth="1"/>
    <col min="6188" max="6188" width="37.1796875" customWidth="1"/>
    <col min="6189" max="6189" width="27" customWidth="1"/>
    <col min="6190" max="6190" width="12.1796875" customWidth="1"/>
    <col min="6191" max="6191" width="12.453125" bestFit="1" customWidth="1"/>
    <col min="6194" max="6194" width="34.81640625" customWidth="1"/>
    <col min="6199" max="6199" width="9.453125" customWidth="1"/>
    <col min="6405" max="6405" width="12" bestFit="1" customWidth="1"/>
    <col min="6406" max="6406" width="16.7265625" bestFit="1" customWidth="1"/>
    <col min="6407" max="6407" width="11.453125" customWidth="1"/>
    <col min="6408" max="6408" width="16.7265625" customWidth="1"/>
    <col min="6409" max="6409" width="11.453125" customWidth="1"/>
    <col min="6410" max="6410" width="10.1796875" customWidth="1"/>
    <col min="6411" max="6411" width="12.7265625" customWidth="1"/>
    <col min="6412" max="6412" width="11.54296875" customWidth="1"/>
    <col min="6413" max="6413" width="12" bestFit="1" customWidth="1"/>
    <col min="6414" max="6414" width="14" customWidth="1"/>
    <col min="6415" max="6415" width="11.54296875" customWidth="1"/>
    <col min="6416" max="6416" width="12.7265625" customWidth="1"/>
    <col min="6417" max="6417" width="12.54296875" customWidth="1"/>
    <col min="6418" max="6418" width="11.26953125" customWidth="1"/>
    <col min="6419" max="6419" width="34.54296875" customWidth="1"/>
    <col min="6420" max="6420" width="11" bestFit="1" customWidth="1"/>
    <col min="6422" max="6422" width="14.26953125" customWidth="1"/>
    <col min="6425" max="6425" width="39.453125" customWidth="1"/>
    <col min="6427" max="6427" width="22.26953125" customWidth="1"/>
    <col min="6431" max="6431" width="21.26953125" customWidth="1"/>
    <col min="6435" max="6435" width="20.26953125" customWidth="1"/>
    <col min="6439" max="6439" width="34.453125" customWidth="1"/>
    <col min="6440" max="6440" width="26.54296875" customWidth="1"/>
    <col min="6441" max="6441" width="16.453125" customWidth="1"/>
    <col min="6442" max="6443" width="20.1796875" customWidth="1"/>
    <col min="6444" max="6444" width="37.1796875" customWidth="1"/>
    <col min="6445" max="6445" width="27" customWidth="1"/>
    <col min="6446" max="6446" width="12.1796875" customWidth="1"/>
    <col min="6447" max="6447" width="12.453125" bestFit="1" customWidth="1"/>
    <col min="6450" max="6450" width="34.81640625" customWidth="1"/>
    <col min="6455" max="6455" width="9.453125" customWidth="1"/>
    <col min="6661" max="6661" width="12" bestFit="1" customWidth="1"/>
    <col min="6662" max="6662" width="16.7265625" bestFit="1" customWidth="1"/>
    <col min="6663" max="6663" width="11.453125" customWidth="1"/>
    <col min="6664" max="6664" width="16.7265625" customWidth="1"/>
    <col min="6665" max="6665" width="11.453125" customWidth="1"/>
    <col min="6666" max="6666" width="10.1796875" customWidth="1"/>
    <col min="6667" max="6667" width="12.7265625" customWidth="1"/>
    <col min="6668" max="6668" width="11.54296875" customWidth="1"/>
    <col min="6669" max="6669" width="12" bestFit="1" customWidth="1"/>
    <col min="6670" max="6670" width="14" customWidth="1"/>
    <col min="6671" max="6671" width="11.54296875" customWidth="1"/>
    <col min="6672" max="6672" width="12.7265625" customWidth="1"/>
    <col min="6673" max="6673" width="12.54296875" customWidth="1"/>
    <col min="6674" max="6674" width="11.26953125" customWidth="1"/>
    <col min="6675" max="6675" width="34.54296875" customWidth="1"/>
    <col min="6676" max="6676" width="11" bestFit="1" customWidth="1"/>
    <col min="6678" max="6678" width="14.26953125" customWidth="1"/>
    <col min="6681" max="6681" width="39.453125" customWidth="1"/>
    <col min="6683" max="6683" width="22.26953125" customWidth="1"/>
    <col min="6687" max="6687" width="21.26953125" customWidth="1"/>
    <col min="6691" max="6691" width="20.26953125" customWidth="1"/>
    <col min="6695" max="6695" width="34.453125" customWidth="1"/>
    <col min="6696" max="6696" width="26.54296875" customWidth="1"/>
    <col min="6697" max="6697" width="16.453125" customWidth="1"/>
    <col min="6698" max="6699" width="20.1796875" customWidth="1"/>
    <col min="6700" max="6700" width="37.1796875" customWidth="1"/>
    <col min="6701" max="6701" width="27" customWidth="1"/>
    <col min="6702" max="6702" width="12.1796875" customWidth="1"/>
    <col min="6703" max="6703" width="12.453125" bestFit="1" customWidth="1"/>
    <col min="6706" max="6706" width="34.81640625" customWidth="1"/>
    <col min="6711" max="6711" width="9.453125" customWidth="1"/>
    <col min="6917" max="6917" width="12" bestFit="1" customWidth="1"/>
    <col min="6918" max="6918" width="16.7265625" bestFit="1" customWidth="1"/>
    <col min="6919" max="6919" width="11.453125" customWidth="1"/>
    <col min="6920" max="6920" width="16.7265625" customWidth="1"/>
    <col min="6921" max="6921" width="11.453125" customWidth="1"/>
    <col min="6922" max="6922" width="10.1796875" customWidth="1"/>
    <col min="6923" max="6923" width="12.7265625" customWidth="1"/>
    <col min="6924" max="6924" width="11.54296875" customWidth="1"/>
    <col min="6925" max="6925" width="12" bestFit="1" customWidth="1"/>
    <col min="6926" max="6926" width="14" customWidth="1"/>
    <col min="6927" max="6927" width="11.54296875" customWidth="1"/>
    <col min="6928" max="6928" width="12.7265625" customWidth="1"/>
    <col min="6929" max="6929" width="12.54296875" customWidth="1"/>
    <col min="6930" max="6930" width="11.26953125" customWidth="1"/>
    <col min="6931" max="6931" width="34.54296875" customWidth="1"/>
    <col min="6932" max="6932" width="11" bestFit="1" customWidth="1"/>
    <col min="6934" max="6934" width="14.26953125" customWidth="1"/>
    <col min="6937" max="6937" width="39.453125" customWidth="1"/>
    <col min="6939" max="6939" width="22.26953125" customWidth="1"/>
    <col min="6943" max="6943" width="21.26953125" customWidth="1"/>
    <col min="6947" max="6947" width="20.26953125" customWidth="1"/>
    <col min="6951" max="6951" width="34.453125" customWidth="1"/>
    <col min="6952" max="6952" width="26.54296875" customWidth="1"/>
    <col min="6953" max="6953" width="16.453125" customWidth="1"/>
    <col min="6954" max="6955" width="20.1796875" customWidth="1"/>
    <col min="6956" max="6956" width="37.1796875" customWidth="1"/>
    <col min="6957" max="6957" width="27" customWidth="1"/>
    <col min="6958" max="6958" width="12.1796875" customWidth="1"/>
    <col min="6959" max="6959" width="12.453125" bestFit="1" customWidth="1"/>
    <col min="6962" max="6962" width="34.81640625" customWidth="1"/>
    <col min="6967" max="6967" width="9.453125" customWidth="1"/>
    <col min="7173" max="7173" width="12" bestFit="1" customWidth="1"/>
    <col min="7174" max="7174" width="16.7265625" bestFit="1" customWidth="1"/>
    <col min="7175" max="7175" width="11.453125" customWidth="1"/>
    <col min="7176" max="7176" width="16.7265625" customWidth="1"/>
    <col min="7177" max="7177" width="11.453125" customWidth="1"/>
    <col min="7178" max="7178" width="10.1796875" customWidth="1"/>
    <col min="7179" max="7179" width="12.7265625" customWidth="1"/>
    <col min="7180" max="7180" width="11.54296875" customWidth="1"/>
    <col min="7181" max="7181" width="12" bestFit="1" customWidth="1"/>
    <col min="7182" max="7182" width="14" customWidth="1"/>
    <col min="7183" max="7183" width="11.54296875" customWidth="1"/>
    <col min="7184" max="7184" width="12.7265625" customWidth="1"/>
    <col min="7185" max="7185" width="12.54296875" customWidth="1"/>
    <col min="7186" max="7186" width="11.26953125" customWidth="1"/>
    <col min="7187" max="7187" width="34.54296875" customWidth="1"/>
    <col min="7188" max="7188" width="11" bestFit="1" customWidth="1"/>
    <col min="7190" max="7190" width="14.26953125" customWidth="1"/>
    <col min="7193" max="7193" width="39.453125" customWidth="1"/>
    <col min="7195" max="7195" width="22.26953125" customWidth="1"/>
    <col min="7199" max="7199" width="21.26953125" customWidth="1"/>
    <col min="7203" max="7203" width="20.26953125" customWidth="1"/>
    <col min="7207" max="7207" width="34.453125" customWidth="1"/>
    <col min="7208" max="7208" width="26.54296875" customWidth="1"/>
    <col min="7209" max="7209" width="16.453125" customWidth="1"/>
    <col min="7210" max="7211" width="20.1796875" customWidth="1"/>
    <col min="7212" max="7212" width="37.1796875" customWidth="1"/>
    <col min="7213" max="7213" width="27" customWidth="1"/>
    <col min="7214" max="7214" width="12.1796875" customWidth="1"/>
    <col min="7215" max="7215" width="12.453125" bestFit="1" customWidth="1"/>
    <col min="7218" max="7218" width="34.81640625" customWidth="1"/>
    <col min="7223" max="7223" width="9.453125" customWidth="1"/>
    <col min="7429" max="7429" width="12" bestFit="1" customWidth="1"/>
    <col min="7430" max="7430" width="16.7265625" bestFit="1" customWidth="1"/>
    <col min="7431" max="7431" width="11.453125" customWidth="1"/>
    <col min="7432" max="7432" width="16.7265625" customWidth="1"/>
    <col min="7433" max="7433" width="11.453125" customWidth="1"/>
    <col min="7434" max="7434" width="10.1796875" customWidth="1"/>
    <col min="7435" max="7435" width="12.7265625" customWidth="1"/>
    <col min="7436" max="7436" width="11.54296875" customWidth="1"/>
    <col min="7437" max="7437" width="12" bestFit="1" customWidth="1"/>
    <col min="7438" max="7438" width="14" customWidth="1"/>
    <col min="7439" max="7439" width="11.54296875" customWidth="1"/>
    <col min="7440" max="7440" width="12.7265625" customWidth="1"/>
    <col min="7441" max="7441" width="12.54296875" customWidth="1"/>
    <col min="7442" max="7442" width="11.26953125" customWidth="1"/>
    <col min="7443" max="7443" width="34.54296875" customWidth="1"/>
    <col min="7444" max="7444" width="11" bestFit="1" customWidth="1"/>
    <col min="7446" max="7446" width="14.26953125" customWidth="1"/>
    <col min="7449" max="7449" width="39.453125" customWidth="1"/>
    <col min="7451" max="7451" width="22.26953125" customWidth="1"/>
    <col min="7455" max="7455" width="21.26953125" customWidth="1"/>
    <col min="7459" max="7459" width="20.26953125" customWidth="1"/>
    <col min="7463" max="7463" width="34.453125" customWidth="1"/>
    <col min="7464" max="7464" width="26.54296875" customWidth="1"/>
    <col min="7465" max="7465" width="16.453125" customWidth="1"/>
    <col min="7466" max="7467" width="20.1796875" customWidth="1"/>
    <col min="7468" max="7468" width="37.1796875" customWidth="1"/>
    <col min="7469" max="7469" width="27" customWidth="1"/>
    <col min="7470" max="7470" width="12.1796875" customWidth="1"/>
    <col min="7471" max="7471" width="12.453125" bestFit="1" customWidth="1"/>
    <col min="7474" max="7474" width="34.81640625" customWidth="1"/>
    <col min="7479" max="7479" width="9.453125" customWidth="1"/>
    <col min="7685" max="7685" width="12" bestFit="1" customWidth="1"/>
    <col min="7686" max="7686" width="16.7265625" bestFit="1" customWidth="1"/>
    <col min="7687" max="7687" width="11.453125" customWidth="1"/>
    <col min="7688" max="7688" width="16.7265625" customWidth="1"/>
    <col min="7689" max="7689" width="11.453125" customWidth="1"/>
    <col min="7690" max="7690" width="10.1796875" customWidth="1"/>
    <col min="7691" max="7691" width="12.7265625" customWidth="1"/>
    <col min="7692" max="7692" width="11.54296875" customWidth="1"/>
    <col min="7693" max="7693" width="12" bestFit="1" customWidth="1"/>
    <col min="7694" max="7694" width="14" customWidth="1"/>
    <col min="7695" max="7695" width="11.54296875" customWidth="1"/>
    <col min="7696" max="7696" width="12.7265625" customWidth="1"/>
    <col min="7697" max="7697" width="12.54296875" customWidth="1"/>
    <col min="7698" max="7698" width="11.26953125" customWidth="1"/>
    <col min="7699" max="7699" width="34.54296875" customWidth="1"/>
    <col min="7700" max="7700" width="11" bestFit="1" customWidth="1"/>
    <col min="7702" max="7702" width="14.26953125" customWidth="1"/>
    <col min="7705" max="7705" width="39.453125" customWidth="1"/>
    <col min="7707" max="7707" width="22.26953125" customWidth="1"/>
    <col min="7711" max="7711" width="21.26953125" customWidth="1"/>
    <col min="7715" max="7715" width="20.26953125" customWidth="1"/>
    <col min="7719" max="7719" width="34.453125" customWidth="1"/>
    <col min="7720" max="7720" width="26.54296875" customWidth="1"/>
    <col min="7721" max="7721" width="16.453125" customWidth="1"/>
    <col min="7722" max="7723" width="20.1796875" customWidth="1"/>
    <col min="7724" max="7724" width="37.1796875" customWidth="1"/>
    <col min="7725" max="7725" width="27" customWidth="1"/>
    <col min="7726" max="7726" width="12.1796875" customWidth="1"/>
    <col min="7727" max="7727" width="12.453125" bestFit="1" customWidth="1"/>
    <col min="7730" max="7730" width="34.81640625" customWidth="1"/>
    <col min="7735" max="7735" width="9.453125" customWidth="1"/>
    <col min="7941" max="7941" width="12" bestFit="1" customWidth="1"/>
    <col min="7942" max="7942" width="16.7265625" bestFit="1" customWidth="1"/>
    <col min="7943" max="7943" width="11.453125" customWidth="1"/>
    <col min="7944" max="7944" width="16.7265625" customWidth="1"/>
    <col min="7945" max="7945" width="11.453125" customWidth="1"/>
    <col min="7946" max="7946" width="10.1796875" customWidth="1"/>
    <col min="7947" max="7947" width="12.7265625" customWidth="1"/>
    <col min="7948" max="7948" width="11.54296875" customWidth="1"/>
    <col min="7949" max="7949" width="12" bestFit="1" customWidth="1"/>
    <col min="7950" max="7950" width="14" customWidth="1"/>
    <col min="7951" max="7951" width="11.54296875" customWidth="1"/>
    <col min="7952" max="7952" width="12.7265625" customWidth="1"/>
    <col min="7953" max="7953" width="12.54296875" customWidth="1"/>
    <col min="7954" max="7954" width="11.26953125" customWidth="1"/>
    <col min="7955" max="7955" width="34.54296875" customWidth="1"/>
    <col min="7956" max="7956" width="11" bestFit="1" customWidth="1"/>
    <col min="7958" max="7958" width="14.26953125" customWidth="1"/>
    <col min="7961" max="7961" width="39.453125" customWidth="1"/>
    <col min="7963" max="7963" width="22.26953125" customWidth="1"/>
    <col min="7967" max="7967" width="21.26953125" customWidth="1"/>
    <col min="7971" max="7971" width="20.26953125" customWidth="1"/>
    <col min="7975" max="7975" width="34.453125" customWidth="1"/>
    <col min="7976" max="7976" width="26.54296875" customWidth="1"/>
    <col min="7977" max="7977" width="16.453125" customWidth="1"/>
    <col min="7978" max="7979" width="20.1796875" customWidth="1"/>
    <col min="7980" max="7980" width="37.1796875" customWidth="1"/>
    <col min="7981" max="7981" width="27" customWidth="1"/>
    <col min="7982" max="7982" width="12.1796875" customWidth="1"/>
    <col min="7983" max="7983" width="12.453125" bestFit="1" customWidth="1"/>
    <col min="7986" max="7986" width="34.81640625" customWidth="1"/>
    <col min="7991" max="7991" width="9.453125" customWidth="1"/>
    <col min="8197" max="8197" width="12" bestFit="1" customWidth="1"/>
    <col min="8198" max="8198" width="16.7265625" bestFit="1" customWidth="1"/>
    <col min="8199" max="8199" width="11.453125" customWidth="1"/>
    <col min="8200" max="8200" width="16.7265625" customWidth="1"/>
    <col min="8201" max="8201" width="11.453125" customWidth="1"/>
    <col min="8202" max="8202" width="10.1796875" customWidth="1"/>
    <col min="8203" max="8203" width="12.7265625" customWidth="1"/>
    <col min="8204" max="8204" width="11.54296875" customWidth="1"/>
    <col min="8205" max="8205" width="12" bestFit="1" customWidth="1"/>
    <col min="8206" max="8206" width="14" customWidth="1"/>
    <col min="8207" max="8207" width="11.54296875" customWidth="1"/>
    <col min="8208" max="8208" width="12.7265625" customWidth="1"/>
    <col min="8209" max="8209" width="12.54296875" customWidth="1"/>
    <col min="8210" max="8210" width="11.26953125" customWidth="1"/>
    <col min="8211" max="8211" width="34.54296875" customWidth="1"/>
    <col min="8212" max="8212" width="11" bestFit="1" customWidth="1"/>
    <col min="8214" max="8214" width="14.26953125" customWidth="1"/>
    <col min="8217" max="8217" width="39.453125" customWidth="1"/>
    <col min="8219" max="8219" width="22.26953125" customWidth="1"/>
    <col min="8223" max="8223" width="21.26953125" customWidth="1"/>
    <col min="8227" max="8227" width="20.26953125" customWidth="1"/>
    <col min="8231" max="8231" width="34.453125" customWidth="1"/>
    <col min="8232" max="8232" width="26.54296875" customWidth="1"/>
    <col min="8233" max="8233" width="16.453125" customWidth="1"/>
    <col min="8234" max="8235" width="20.1796875" customWidth="1"/>
    <col min="8236" max="8236" width="37.1796875" customWidth="1"/>
    <col min="8237" max="8237" width="27" customWidth="1"/>
    <col min="8238" max="8238" width="12.1796875" customWidth="1"/>
    <col min="8239" max="8239" width="12.453125" bestFit="1" customWidth="1"/>
    <col min="8242" max="8242" width="34.81640625" customWidth="1"/>
    <col min="8247" max="8247" width="9.453125" customWidth="1"/>
    <col min="8453" max="8453" width="12" bestFit="1" customWidth="1"/>
    <col min="8454" max="8454" width="16.7265625" bestFit="1" customWidth="1"/>
    <col min="8455" max="8455" width="11.453125" customWidth="1"/>
    <col min="8456" max="8456" width="16.7265625" customWidth="1"/>
    <col min="8457" max="8457" width="11.453125" customWidth="1"/>
    <col min="8458" max="8458" width="10.1796875" customWidth="1"/>
    <col min="8459" max="8459" width="12.7265625" customWidth="1"/>
    <col min="8460" max="8460" width="11.54296875" customWidth="1"/>
    <col min="8461" max="8461" width="12" bestFit="1" customWidth="1"/>
    <col min="8462" max="8462" width="14" customWidth="1"/>
    <col min="8463" max="8463" width="11.54296875" customWidth="1"/>
    <col min="8464" max="8464" width="12.7265625" customWidth="1"/>
    <col min="8465" max="8465" width="12.54296875" customWidth="1"/>
    <col min="8466" max="8466" width="11.26953125" customWidth="1"/>
    <col min="8467" max="8467" width="34.54296875" customWidth="1"/>
    <col min="8468" max="8468" width="11" bestFit="1" customWidth="1"/>
    <col min="8470" max="8470" width="14.26953125" customWidth="1"/>
    <col min="8473" max="8473" width="39.453125" customWidth="1"/>
    <col min="8475" max="8475" width="22.26953125" customWidth="1"/>
    <col min="8479" max="8479" width="21.26953125" customWidth="1"/>
    <col min="8483" max="8483" width="20.26953125" customWidth="1"/>
    <col min="8487" max="8487" width="34.453125" customWidth="1"/>
    <col min="8488" max="8488" width="26.54296875" customWidth="1"/>
    <col min="8489" max="8489" width="16.453125" customWidth="1"/>
    <col min="8490" max="8491" width="20.1796875" customWidth="1"/>
    <col min="8492" max="8492" width="37.1796875" customWidth="1"/>
    <col min="8493" max="8493" width="27" customWidth="1"/>
    <col min="8494" max="8494" width="12.1796875" customWidth="1"/>
    <col min="8495" max="8495" width="12.453125" bestFit="1" customWidth="1"/>
    <col min="8498" max="8498" width="34.81640625" customWidth="1"/>
    <col min="8503" max="8503" width="9.453125" customWidth="1"/>
    <col min="8709" max="8709" width="12" bestFit="1" customWidth="1"/>
    <col min="8710" max="8710" width="16.7265625" bestFit="1" customWidth="1"/>
    <col min="8711" max="8711" width="11.453125" customWidth="1"/>
    <col min="8712" max="8712" width="16.7265625" customWidth="1"/>
    <col min="8713" max="8713" width="11.453125" customWidth="1"/>
    <col min="8714" max="8714" width="10.1796875" customWidth="1"/>
    <col min="8715" max="8715" width="12.7265625" customWidth="1"/>
    <col min="8716" max="8716" width="11.54296875" customWidth="1"/>
    <col min="8717" max="8717" width="12" bestFit="1" customWidth="1"/>
    <col min="8718" max="8718" width="14" customWidth="1"/>
    <col min="8719" max="8719" width="11.54296875" customWidth="1"/>
    <col min="8720" max="8720" width="12.7265625" customWidth="1"/>
    <col min="8721" max="8721" width="12.54296875" customWidth="1"/>
    <col min="8722" max="8722" width="11.26953125" customWidth="1"/>
    <col min="8723" max="8723" width="34.54296875" customWidth="1"/>
    <col min="8724" max="8724" width="11" bestFit="1" customWidth="1"/>
    <col min="8726" max="8726" width="14.26953125" customWidth="1"/>
    <col min="8729" max="8729" width="39.453125" customWidth="1"/>
    <col min="8731" max="8731" width="22.26953125" customWidth="1"/>
    <col min="8735" max="8735" width="21.26953125" customWidth="1"/>
    <col min="8739" max="8739" width="20.26953125" customWidth="1"/>
    <col min="8743" max="8743" width="34.453125" customWidth="1"/>
    <col min="8744" max="8744" width="26.54296875" customWidth="1"/>
    <col min="8745" max="8745" width="16.453125" customWidth="1"/>
    <col min="8746" max="8747" width="20.1796875" customWidth="1"/>
    <col min="8748" max="8748" width="37.1796875" customWidth="1"/>
    <col min="8749" max="8749" width="27" customWidth="1"/>
    <col min="8750" max="8750" width="12.1796875" customWidth="1"/>
    <col min="8751" max="8751" width="12.453125" bestFit="1" customWidth="1"/>
    <col min="8754" max="8754" width="34.81640625" customWidth="1"/>
    <col min="8759" max="8759" width="9.453125" customWidth="1"/>
    <col min="8965" max="8965" width="12" bestFit="1" customWidth="1"/>
    <col min="8966" max="8966" width="16.7265625" bestFit="1" customWidth="1"/>
    <col min="8967" max="8967" width="11.453125" customWidth="1"/>
    <col min="8968" max="8968" width="16.7265625" customWidth="1"/>
    <col min="8969" max="8969" width="11.453125" customWidth="1"/>
    <col min="8970" max="8970" width="10.1796875" customWidth="1"/>
    <col min="8971" max="8971" width="12.7265625" customWidth="1"/>
    <col min="8972" max="8972" width="11.54296875" customWidth="1"/>
    <col min="8973" max="8973" width="12" bestFit="1" customWidth="1"/>
    <col min="8974" max="8974" width="14" customWidth="1"/>
    <col min="8975" max="8975" width="11.54296875" customWidth="1"/>
    <col min="8976" max="8976" width="12.7265625" customWidth="1"/>
    <col min="8977" max="8977" width="12.54296875" customWidth="1"/>
    <col min="8978" max="8978" width="11.26953125" customWidth="1"/>
    <col min="8979" max="8979" width="34.54296875" customWidth="1"/>
    <col min="8980" max="8980" width="11" bestFit="1" customWidth="1"/>
    <col min="8982" max="8982" width="14.26953125" customWidth="1"/>
    <col min="8985" max="8985" width="39.453125" customWidth="1"/>
    <col min="8987" max="8987" width="22.26953125" customWidth="1"/>
    <col min="8991" max="8991" width="21.26953125" customWidth="1"/>
    <col min="8995" max="8995" width="20.26953125" customWidth="1"/>
    <col min="8999" max="8999" width="34.453125" customWidth="1"/>
    <col min="9000" max="9000" width="26.54296875" customWidth="1"/>
    <col min="9001" max="9001" width="16.453125" customWidth="1"/>
    <col min="9002" max="9003" width="20.1796875" customWidth="1"/>
    <col min="9004" max="9004" width="37.1796875" customWidth="1"/>
    <col min="9005" max="9005" width="27" customWidth="1"/>
    <col min="9006" max="9006" width="12.1796875" customWidth="1"/>
    <col min="9007" max="9007" width="12.453125" bestFit="1" customWidth="1"/>
    <col min="9010" max="9010" width="34.81640625" customWidth="1"/>
    <col min="9015" max="9015" width="9.453125" customWidth="1"/>
    <col min="9221" max="9221" width="12" bestFit="1" customWidth="1"/>
    <col min="9222" max="9222" width="16.7265625" bestFit="1" customWidth="1"/>
    <col min="9223" max="9223" width="11.453125" customWidth="1"/>
    <col min="9224" max="9224" width="16.7265625" customWidth="1"/>
    <col min="9225" max="9225" width="11.453125" customWidth="1"/>
    <col min="9226" max="9226" width="10.1796875" customWidth="1"/>
    <col min="9227" max="9227" width="12.7265625" customWidth="1"/>
    <col min="9228" max="9228" width="11.54296875" customWidth="1"/>
    <col min="9229" max="9229" width="12" bestFit="1" customWidth="1"/>
    <col min="9230" max="9230" width="14" customWidth="1"/>
    <col min="9231" max="9231" width="11.54296875" customWidth="1"/>
    <col min="9232" max="9232" width="12.7265625" customWidth="1"/>
    <col min="9233" max="9233" width="12.54296875" customWidth="1"/>
    <col min="9234" max="9234" width="11.26953125" customWidth="1"/>
    <col min="9235" max="9235" width="34.54296875" customWidth="1"/>
    <col min="9236" max="9236" width="11" bestFit="1" customWidth="1"/>
    <col min="9238" max="9238" width="14.26953125" customWidth="1"/>
    <col min="9241" max="9241" width="39.453125" customWidth="1"/>
    <col min="9243" max="9243" width="22.26953125" customWidth="1"/>
    <col min="9247" max="9247" width="21.26953125" customWidth="1"/>
    <col min="9251" max="9251" width="20.26953125" customWidth="1"/>
    <col min="9255" max="9255" width="34.453125" customWidth="1"/>
    <col min="9256" max="9256" width="26.54296875" customWidth="1"/>
    <col min="9257" max="9257" width="16.453125" customWidth="1"/>
    <col min="9258" max="9259" width="20.1796875" customWidth="1"/>
    <col min="9260" max="9260" width="37.1796875" customWidth="1"/>
    <col min="9261" max="9261" width="27" customWidth="1"/>
    <col min="9262" max="9262" width="12.1796875" customWidth="1"/>
    <col min="9263" max="9263" width="12.453125" bestFit="1" customWidth="1"/>
    <col min="9266" max="9266" width="34.81640625" customWidth="1"/>
    <col min="9271" max="9271" width="9.453125" customWidth="1"/>
    <col min="9477" max="9477" width="12" bestFit="1" customWidth="1"/>
    <col min="9478" max="9478" width="16.7265625" bestFit="1" customWidth="1"/>
    <col min="9479" max="9479" width="11.453125" customWidth="1"/>
    <col min="9480" max="9480" width="16.7265625" customWidth="1"/>
    <col min="9481" max="9481" width="11.453125" customWidth="1"/>
    <col min="9482" max="9482" width="10.1796875" customWidth="1"/>
    <col min="9483" max="9483" width="12.7265625" customWidth="1"/>
    <col min="9484" max="9484" width="11.54296875" customWidth="1"/>
    <col min="9485" max="9485" width="12" bestFit="1" customWidth="1"/>
    <col min="9486" max="9486" width="14" customWidth="1"/>
    <col min="9487" max="9487" width="11.54296875" customWidth="1"/>
    <col min="9488" max="9488" width="12.7265625" customWidth="1"/>
    <col min="9489" max="9489" width="12.54296875" customWidth="1"/>
    <col min="9490" max="9490" width="11.26953125" customWidth="1"/>
    <col min="9491" max="9491" width="34.54296875" customWidth="1"/>
    <col min="9492" max="9492" width="11" bestFit="1" customWidth="1"/>
    <col min="9494" max="9494" width="14.26953125" customWidth="1"/>
    <col min="9497" max="9497" width="39.453125" customWidth="1"/>
    <col min="9499" max="9499" width="22.26953125" customWidth="1"/>
    <col min="9503" max="9503" width="21.26953125" customWidth="1"/>
    <col min="9507" max="9507" width="20.26953125" customWidth="1"/>
    <col min="9511" max="9511" width="34.453125" customWidth="1"/>
    <col min="9512" max="9512" width="26.54296875" customWidth="1"/>
    <col min="9513" max="9513" width="16.453125" customWidth="1"/>
    <col min="9514" max="9515" width="20.1796875" customWidth="1"/>
    <col min="9516" max="9516" width="37.1796875" customWidth="1"/>
    <col min="9517" max="9517" width="27" customWidth="1"/>
    <col min="9518" max="9518" width="12.1796875" customWidth="1"/>
    <col min="9519" max="9519" width="12.453125" bestFit="1" customWidth="1"/>
    <col min="9522" max="9522" width="34.81640625" customWidth="1"/>
    <col min="9527" max="9527" width="9.453125" customWidth="1"/>
    <col min="9733" max="9733" width="12" bestFit="1" customWidth="1"/>
    <col min="9734" max="9734" width="16.7265625" bestFit="1" customWidth="1"/>
    <col min="9735" max="9735" width="11.453125" customWidth="1"/>
    <col min="9736" max="9736" width="16.7265625" customWidth="1"/>
    <col min="9737" max="9737" width="11.453125" customWidth="1"/>
    <col min="9738" max="9738" width="10.1796875" customWidth="1"/>
    <col min="9739" max="9739" width="12.7265625" customWidth="1"/>
    <col min="9740" max="9740" width="11.54296875" customWidth="1"/>
    <col min="9741" max="9741" width="12" bestFit="1" customWidth="1"/>
    <col min="9742" max="9742" width="14" customWidth="1"/>
    <col min="9743" max="9743" width="11.54296875" customWidth="1"/>
    <col min="9744" max="9744" width="12.7265625" customWidth="1"/>
    <col min="9745" max="9745" width="12.54296875" customWidth="1"/>
    <col min="9746" max="9746" width="11.26953125" customWidth="1"/>
    <col min="9747" max="9747" width="34.54296875" customWidth="1"/>
    <col min="9748" max="9748" width="11" bestFit="1" customWidth="1"/>
    <col min="9750" max="9750" width="14.26953125" customWidth="1"/>
    <col min="9753" max="9753" width="39.453125" customWidth="1"/>
    <col min="9755" max="9755" width="22.26953125" customWidth="1"/>
    <col min="9759" max="9759" width="21.26953125" customWidth="1"/>
    <col min="9763" max="9763" width="20.26953125" customWidth="1"/>
    <col min="9767" max="9767" width="34.453125" customWidth="1"/>
    <col min="9768" max="9768" width="26.54296875" customWidth="1"/>
    <col min="9769" max="9769" width="16.453125" customWidth="1"/>
    <col min="9770" max="9771" width="20.1796875" customWidth="1"/>
    <col min="9772" max="9772" width="37.1796875" customWidth="1"/>
    <col min="9773" max="9773" width="27" customWidth="1"/>
    <col min="9774" max="9774" width="12.1796875" customWidth="1"/>
    <col min="9775" max="9775" width="12.453125" bestFit="1" customWidth="1"/>
    <col min="9778" max="9778" width="34.81640625" customWidth="1"/>
    <col min="9783" max="9783" width="9.453125" customWidth="1"/>
    <col min="9989" max="9989" width="12" bestFit="1" customWidth="1"/>
    <col min="9990" max="9990" width="16.7265625" bestFit="1" customWidth="1"/>
    <col min="9991" max="9991" width="11.453125" customWidth="1"/>
    <col min="9992" max="9992" width="16.7265625" customWidth="1"/>
    <col min="9993" max="9993" width="11.453125" customWidth="1"/>
    <col min="9994" max="9994" width="10.1796875" customWidth="1"/>
    <col min="9995" max="9995" width="12.7265625" customWidth="1"/>
    <col min="9996" max="9996" width="11.54296875" customWidth="1"/>
    <col min="9997" max="9997" width="12" bestFit="1" customWidth="1"/>
    <col min="9998" max="9998" width="14" customWidth="1"/>
    <col min="9999" max="9999" width="11.54296875" customWidth="1"/>
    <col min="10000" max="10000" width="12.7265625" customWidth="1"/>
    <col min="10001" max="10001" width="12.54296875" customWidth="1"/>
    <col min="10002" max="10002" width="11.26953125" customWidth="1"/>
    <col min="10003" max="10003" width="34.54296875" customWidth="1"/>
    <col min="10004" max="10004" width="11" bestFit="1" customWidth="1"/>
    <col min="10006" max="10006" width="14.26953125" customWidth="1"/>
    <col min="10009" max="10009" width="39.453125" customWidth="1"/>
    <col min="10011" max="10011" width="22.26953125" customWidth="1"/>
    <col min="10015" max="10015" width="21.26953125" customWidth="1"/>
    <col min="10019" max="10019" width="20.26953125" customWidth="1"/>
    <col min="10023" max="10023" width="34.453125" customWidth="1"/>
    <col min="10024" max="10024" width="26.54296875" customWidth="1"/>
    <col min="10025" max="10025" width="16.453125" customWidth="1"/>
    <col min="10026" max="10027" width="20.1796875" customWidth="1"/>
    <col min="10028" max="10028" width="37.1796875" customWidth="1"/>
    <col min="10029" max="10029" width="27" customWidth="1"/>
    <col min="10030" max="10030" width="12.1796875" customWidth="1"/>
    <col min="10031" max="10031" width="12.453125" bestFit="1" customWidth="1"/>
    <col min="10034" max="10034" width="34.81640625" customWidth="1"/>
    <col min="10039" max="10039" width="9.453125" customWidth="1"/>
    <col min="10245" max="10245" width="12" bestFit="1" customWidth="1"/>
    <col min="10246" max="10246" width="16.7265625" bestFit="1" customWidth="1"/>
    <col min="10247" max="10247" width="11.453125" customWidth="1"/>
    <col min="10248" max="10248" width="16.7265625" customWidth="1"/>
    <col min="10249" max="10249" width="11.453125" customWidth="1"/>
    <col min="10250" max="10250" width="10.1796875" customWidth="1"/>
    <col min="10251" max="10251" width="12.7265625" customWidth="1"/>
    <col min="10252" max="10252" width="11.54296875" customWidth="1"/>
    <col min="10253" max="10253" width="12" bestFit="1" customWidth="1"/>
    <col min="10254" max="10254" width="14" customWidth="1"/>
    <col min="10255" max="10255" width="11.54296875" customWidth="1"/>
    <col min="10256" max="10256" width="12.7265625" customWidth="1"/>
    <col min="10257" max="10257" width="12.54296875" customWidth="1"/>
    <col min="10258" max="10258" width="11.26953125" customWidth="1"/>
    <col min="10259" max="10259" width="34.54296875" customWidth="1"/>
    <col min="10260" max="10260" width="11" bestFit="1" customWidth="1"/>
    <col min="10262" max="10262" width="14.26953125" customWidth="1"/>
    <col min="10265" max="10265" width="39.453125" customWidth="1"/>
    <col min="10267" max="10267" width="22.26953125" customWidth="1"/>
    <col min="10271" max="10271" width="21.26953125" customWidth="1"/>
    <col min="10275" max="10275" width="20.26953125" customWidth="1"/>
    <col min="10279" max="10279" width="34.453125" customWidth="1"/>
    <col min="10280" max="10280" width="26.54296875" customWidth="1"/>
    <col min="10281" max="10281" width="16.453125" customWidth="1"/>
    <col min="10282" max="10283" width="20.1796875" customWidth="1"/>
    <col min="10284" max="10284" width="37.1796875" customWidth="1"/>
    <col min="10285" max="10285" width="27" customWidth="1"/>
    <col min="10286" max="10286" width="12.1796875" customWidth="1"/>
    <col min="10287" max="10287" width="12.453125" bestFit="1" customWidth="1"/>
    <col min="10290" max="10290" width="34.81640625" customWidth="1"/>
    <col min="10295" max="10295" width="9.453125" customWidth="1"/>
    <col min="10501" max="10501" width="12" bestFit="1" customWidth="1"/>
    <col min="10502" max="10502" width="16.7265625" bestFit="1" customWidth="1"/>
    <col min="10503" max="10503" width="11.453125" customWidth="1"/>
    <col min="10504" max="10504" width="16.7265625" customWidth="1"/>
    <col min="10505" max="10505" width="11.453125" customWidth="1"/>
    <col min="10506" max="10506" width="10.1796875" customWidth="1"/>
    <col min="10507" max="10507" width="12.7265625" customWidth="1"/>
    <col min="10508" max="10508" width="11.54296875" customWidth="1"/>
    <col min="10509" max="10509" width="12" bestFit="1" customWidth="1"/>
    <col min="10510" max="10510" width="14" customWidth="1"/>
    <col min="10511" max="10511" width="11.54296875" customWidth="1"/>
    <col min="10512" max="10512" width="12.7265625" customWidth="1"/>
    <col min="10513" max="10513" width="12.54296875" customWidth="1"/>
    <col min="10514" max="10514" width="11.26953125" customWidth="1"/>
    <col min="10515" max="10515" width="34.54296875" customWidth="1"/>
    <col min="10516" max="10516" width="11" bestFit="1" customWidth="1"/>
    <col min="10518" max="10518" width="14.26953125" customWidth="1"/>
    <col min="10521" max="10521" width="39.453125" customWidth="1"/>
    <col min="10523" max="10523" width="22.26953125" customWidth="1"/>
    <col min="10527" max="10527" width="21.26953125" customWidth="1"/>
    <col min="10531" max="10531" width="20.26953125" customWidth="1"/>
    <col min="10535" max="10535" width="34.453125" customWidth="1"/>
    <col min="10536" max="10536" width="26.54296875" customWidth="1"/>
    <col min="10537" max="10537" width="16.453125" customWidth="1"/>
    <col min="10538" max="10539" width="20.1796875" customWidth="1"/>
    <col min="10540" max="10540" width="37.1796875" customWidth="1"/>
    <col min="10541" max="10541" width="27" customWidth="1"/>
    <col min="10542" max="10542" width="12.1796875" customWidth="1"/>
    <col min="10543" max="10543" width="12.453125" bestFit="1" customWidth="1"/>
    <col min="10546" max="10546" width="34.81640625" customWidth="1"/>
    <col min="10551" max="10551" width="9.453125" customWidth="1"/>
    <col min="10757" max="10757" width="12" bestFit="1" customWidth="1"/>
    <col min="10758" max="10758" width="16.7265625" bestFit="1" customWidth="1"/>
    <col min="10759" max="10759" width="11.453125" customWidth="1"/>
    <col min="10760" max="10760" width="16.7265625" customWidth="1"/>
    <col min="10761" max="10761" width="11.453125" customWidth="1"/>
    <col min="10762" max="10762" width="10.1796875" customWidth="1"/>
    <col min="10763" max="10763" width="12.7265625" customWidth="1"/>
    <col min="10764" max="10764" width="11.54296875" customWidth="1"/>
    <col min="10765" max="10765" width="12" bestFit="1" customWidth="1"/>
    <col min="10766" max="10766" width="14" customWidth="1"/>
    <col min="10767" max="10767" width="11.54296875" customWidth="1"/>
    <col min="10768" max="10768" width="12.7265625" customWidth="1"/>
    <col min="10769" max="10769" width="12.54296875" customWidth="1"/>
    <col min="10770" max="10770" width="11.26953125" customWidth="1"/>
    <col min="10771" max="10771" width="34.54296875" customWidth="1"/>
    <col min="10772" max="10772" width="11" bestFit="1" customWidth="1"/>
    <col min="10774" max="10774" width="14.26953125" customWidth="1"/>
    <col min="10777" max="10777" width="39.453125" customWidth="1"/>
    <col min="10779" max="10779" width="22.26953125" customWidth="1"/>
    <col min="10783" max="10783" width="21.26953125" customWidth="1"/>
    <col min="10787" max="10787" width="20.26953125" customWidth="1"/>
    <col min="10791" max="10791" width="34.453125" customWidth="1"/>
    <col min="10792" max="10792" width="26.54296875" customWidth="1"/>
    <col min="10793" max="10793" width="16.453125" customWidth="1"/>
    <col min="10794" max="10795" width="20.1796875" customWidth="1"/>
    <col min="10796" max="10796" width="37.1796875" customWidth="1"/>
    <col min="10797" max="10797" width="27" customWidth="1"/>
    <col min="10798" max="10798" width="12.1796875" customWidth="1"/>
    <col min="10799" max="10799" width="12.453125" bestFit="1" customWidth="1"/>
    <col min="10802" max="10802" width="34.81640625" customWidth="1"/>
    <col min="10807" max="10807" width="9.453125" customWidth="1"/>
    <col min="11013" max="11013" width="12" bestFit="1" customWidth="1"/>
    <col min="11014" max="11014" width="16.7265625" bestFit="1" customWidth="1"/>
    <col min="11015" max="11015" width="11.453125" customWidth="1"/>
    <col min="11016" max="11016" width="16.7265625" customWidth="1"/>
    <col min="11017" max="11017" width="11.453125" customWidth="1"/>
    <col min="11018" max="11018" width="10.1796875" customWidth="1"/>
    <col min="11019" max="11019" width="12.7265625" customWidth="1"/>
    <col min="11020" max="11020" width="11.54296875" customWidth="1"/>
    <col min="11021" max="11021" width="12" bestFit="1" customWidth="1"/>
    <col min="11022" max="11022" width="14" customWidth="1"/>
    <col min="11023" max="11023" width="11.54296875" customWidth="1"/>
    <col min="11024" max="11024" width="12.7265625" customWidth="1"/>
    <col min="11025" max="11025" width="12.54296875" customWidth="1"/>
    <col min="11026" max="11026" width="11.26953125" customWidth="1"/>
    <col min="11027" max="11027" width="34.54296875" customWidth="1"/>
    <col min="11028" max="11028" width="11" bestFit="1" customWidth="1"/>
    <col min="11030" max="11030" width="14.26953125" customWidth="1"/>
    <col min="11033" max="11033" width="39.453125" customWidth="1"/>
    <col min="11035" max="11035" width="22.26953125" customWidth="1"/>
    <col min="11039" max="11039" width="21.26953125" customWidth="1"/>
    <col min="11043" max="11043" width="20.26953125" customWidth="1"/>
    <col min="11047" max="11047" width="34.453125" customWidth="1"/>
    <col min="11048" max="11048" width="26.54296875" customWidth="1"/>
    <col min="11049" max="11049" width="16.453125" customWidth="1"/>
    <col min="11050" max="11051" width="20.1796875" customWidth="1"/>
    <col min="11052" max="11052" width="37.1796875" customWidth="1"/>
    <col min="11053" max="11053" width="27" customWidth="1"/>
    <col min="11054" max="11054" width="12.1796875" customWidth="1"/>
    <col min="11055" max="11055" width="12.453125" bestFit="1" customWidth="1"/>
    <col min="11058" max="11058" width="34.81640625" customWidth="1"/>
    <col min="11063" max="11063" width="9.453125" customWidth="1"/>
    <col min="11269" max="11269" width="12" bestFit="1" customWidth="1"/>
    <col min="11270" max="11270" width="16.7265625" bestFit="1" customWidth="1"/>
    <col min="11271" max="11271" width="11.453125" customWidth="1"/>
    <col min="11272" max="11272" width="16.7265625" customWidth="1"/>
    <col min="11273" max="11273" width="11.453125" customWidth="1"/>
    <col min="11274" max="11274" width="10.1796875" customWidth="1"/>
    <col min="11275" max="11275" width="12.7265625" customWidth="1"/>
    <col min="11276" max="11276" width="11.54296875" customWidth="1"/>
    <col min="11277" max="11277" width="12" bestFit="1" customWidth="1"/>
    <col min="11278" max="11278" width="14" customWidth="1"/>
    <col min="11279" max="11279" width="11.54296875" customWidth="1"/>
    <col min="11280" max="11280" width="12.7265625" customWidth="1"/>
    <col min="11281" max="11281" width="12.54296875" customWidth="1"/>
    <col min="11282" max="11282" width="11.26953125" customWidth="1"/>
    <col min="11283" max="11283" width="34.54296875" customWidth="1"/>
    <col min="11284" max="11284" width="11" bestFit="1" customWidth="1"/>
    <col min="11286" max="11286" width="14.26953125" customWidth="1"/>
    <col min="11289" max="11289" width="39.453125" customWidth="1"/>
    <col min="11291" max="11291" width="22.26953125" customWidth="1"/>
    <col min="11295" max="11295" width="21.26953125" customWidth="1"/>
    <col min="11299" max="11299" width="20.26953125" customWidth="1"/>
    <col min="11303" max="11303" width="34.453125" customWidth="1"/>
    <col min="11304" max="11304" width="26.54296875" customWidth="1"/>
    <col min="11305" max="11305" width="16.453125" customWidth="1"/>
    <col min="11306" max="11307" width="20.1796875" customWidth="1"/>
    <col min="11308" max="11308" width="37.1796875" customWidth="1"/>
    <col min="11309" max="11309" width="27" customWidth="1"/>
    <col min="11310" max="11310" width="12.1796875" customWidth="1"/>
    <col min="11311" max="11311" width="12.453125" bestFit="1" customWidth="1"/>
    <col min="11314" max="11314" width="34.81640625" customWidth="1"/>
    <col min="11319" max="11319" width="9.453125" customWidth="1"/>
    <col min="11525" max="11525" width="12" bestFit="1" customWidth="1"/>
    <col min="11526" max="11526" width="16.7265625" bestFit="1" customWidth="1"/>
    <col min="11527" max="11527" width="11.453125" customWidth="1"/>
    <col min="11528" max="11528" width="16.7265625" customWidth="1"/>
    <col min="11529" max="11529" width="11.453125" customWidth="1"/>
    <col min="11530" max="11530" width="10.1796875" customWidth="1"/>
    <col min="11531" max="11531" width="12.7265625" customWidth="1"/>
    <col min="11532" max="11532" width="11.54296875" customWidth="1"/>
    <col min="11533" max="11533" width="12" bestFit="1" customWidth="1"/>
    <col min="11534" max="11534" width="14" customWidth="1"/>
    <col min="11535" max="11535" width="11.54296875" customWidth="1"/>
    <col min="11536" max="11536" width="12.7265625" customWidth="1"/>
    <col min="11537" max="11537" width="12.54296875" customWidth="1"/>
    <col min="11538" max="11538" width="11.26953125" customWidth="1"/>
    <col min="11539" max="11539" width="34.54296875" customWidth="1"/>
    <col min="11540" max="11540" width="11" bestFit="1" customWidth="1"/>
    <col min="11542" max="11542" width="14.26953125" customWidth="1"/>
    <col min="11545" max="11545" width="39.453125" customWidth="1"/>
    <col min="11547" max="11547" width="22.26953125" customWidth="1"/>
    <col min="11551" max="11551" width="21.26953125" customWidth="1"/>
    <col min="11555" max="11555" width="20.26953125" customWidth="1"/>
    <col min="11559" max="11559" width="34.453125" customWidth="1"/>
    <col min="11560" max="11560" width="26.54296875" customWidth="1"/>
    <col min="11561" max="11561" width="16.453125" customWidth="1"/>
    <col min="11562" max="11563" width="20.1796875" customWidth="1"/>
    <col min="11564" max="11564" width="37.1796875" customWidth="1"/>
    <col min="11565" max="11565" width="27" customWidth="1"/>
    <col min="11566" max="11566" width="12.1796875" customWidth="1"/>
    <col min="11567" max="11567" width="12.453125" bestFit="1" customWidth="1"/>
    <col min="11570" max="11570" width="34.81640625" customWidth="1"/>
    <col min="11575" max="11575" width="9.453125" customWidth="1"/>
    <col min="11781" max="11781" width="12" bestFit="1" customWidth="1"/>
    <col min="11782" max="11782" width="16.7265625" bestFit="1" customWidth="1"/>
    <col min="11783" max="11783" width="11.453125" customWidth="1"/>
    <col min="11784" max="11784" width="16.7265625" customWidth="1"/>
    <col min="11785" max="11785" width="11.453125" customWidth="1"/>
    <col min="11786" max="11786" width="10.1796875" customWidth="1"/>
    <col min="11787" max="11787" width="12.7265625" customWidth="1"/>
    <col min="11788" max="11788" width="11.54296875" customWidth="1"/>
    <col min="11789" max="11789" width="12" bestFit="1" customWidth="1"/>
    <col min="11790" max="11790" width="14" customWidth="1"/>
    <col min="11791" max="11791" width="11.54296875" customWidth="1"/>
    <col min="11792" max="11792" width="12.7265625" customWidth="1"/>
    <col min="11793" max="11793" width="12.54296875" customWidth="1"/>
    <col min="11794" max="11794" width="11.26953125" customWidth="1"/>
    <col min="11795" max="11795" width="34.54296875" customWidth="1"/>
    <col min="11796" max="11796" width="11" bestFit="1" customWidth="1"/>
    <col min="11798" max="11798" width="14.26953125" customWidth="1"/>
    <col min="11801" max="11801" width="39.453125" customWidth="1"/>
    <col min="11803" max="11803" width="22.26953125" customWidth="1"/>
    <col min="11807" max="11807" width="21.26953125" customWidth="1"/>
    <col min="11811" max="11811" width="20.26953125" customWidth="1"/>
    <col min="11815" max="11815" width="34.453125" customWidth="1"/>
    <col min="11816" max="11816" width="26.54296875" customWidth="1"/>
    <col min="11817" max="11817" width="16.453125" customWidth="1"/>
    <col min="11818" max="11819" width="20.1796875" customWidth="1"/>
    <col min="11820" max="11820" width="37.1796875" customWidth="1"/>
    <col min="11821" max="11821" width="27" customWidth="1"/>
    <col min="11822" max="11822" width="12.1796875" customWidth="1"/>
    <col min="11823" max="11823" width="12.453125" bestFit="1" customWidth="1"/>
    <col min="11826" max="11826" width="34.81640625" customWidth="1"/>
    <col min="11831" max="11831" width="9.453125" customWidth="1"/>
    <col min="12037" max="12037" width="12" bestFit="1" customWidth="1"/>
    <col min="12038" max="12038" width="16.7265625" bestFit="1" customWidth="1"/>
    <col min="12039" max="12039" width="11.453125" customWidth="1"/>
    <col min="12040" max="12040" width="16.7265625" customWidth="1"/>
    <col min="12041" max="12041" width="11.453125" customWidth="1"/>
    <col min="12042" max="12042" width="10.1796875" customWidth="1"/>
    <col min="12043" max="12043" width="12.7265625" customWidth="1"/>
    <col min="12044" max="12044" width="11.54296875" customWidth="1"/>
    <col min="12045" max="12045" width="12" bestFit="1" customWidth="1"/>
    <col min="12046" max="12046" width="14" customWidth="1"/>
    <col min="12047" max="12047" width="11.54296875" customWidth="1"/>
    <col min="12048" max="12048" width="12.7265625" customWidth="1"/>
    <col min="12049" max="12049" width="12.54296875" customWidth="1"/>
    <col min="12050" max="12050" width="11.26953125" customWidth="1"/>
    <col min="12051" max="12051" width="34.54296875" customWidth="1"/>
    <col min="12052" max="12052" width="11" bestFit="1" customWidth="1"/>
    <col min="12054" max="12054" width="14.26953125" customWidth="1"/>
    <col min="12057" max="12057" width="39.453125" customWidth="1"/>
    <col min="12059" max="12059" width="22.26953125" customWidth="1"/>
    <col min="12063" max="12063" width="21.26953125" customWidth="1"/>
    <col min="12067" max="12067" width="20.26953125" customWidth="1"/>
    <col min="12071" max="12071" width="34.453125" customWidth="1"/>
    <col min="12072" max="12072" width="26.54296875" customWidth="1"/>
    <col min="12073" max="12073" width="16.453125" customWidth="1"/>
    <col min="12074" max="12075" width="20.1796875" customWidth="1"/>
    <col min="12076" max="12076" width="37.1796875" customWidth="1"/>
    <col min="12077" max="12077" width="27" customWidth="1"/>
    <col min="12078" max="12078" width="12.1796875" customWidth="1"/>
    <col min="12079" max="12079" width="12.453125" bestFit="1" customWidth="1"/>
    <col min="12082" max="12082" width="34.81640625" customWidth="1"/>
    <col min="12087" max="12087" width="9.453125" customWidth="1"/>
    <col min="12293" max="12293" width="12" bestFit="1" customWidth="1"/>
    <col min="12294" max="12294" width="16.7265625" bestFit="1" customWidth="1"/>
    <col min="12295" max="12295" width="11.453125" customWidth="1"/>
    <col min="12296" max="12296" width="16.7265625" customWidth="1"/>
    <col min="12297" max="12297" width="11.453125" customWidth="1"/>
    <col min="12298" max="12298" width="10.1796875" customWidth="1"/>
    <col min="12299" max="12299" width="12.7265625" customWidth="1"/>
    <col min="12300" max="12300" width="11.54296875" customWidth="1"/>
    <col min="12301" max="12301" width="12" bestFit="1" customWidth="1"/>
    <col min="12302" max="12302" width="14" customWidth="1"/>
    <col min="12303" max="12303" width="11.54296875" customWidth="1"/>
    <col min="12304" max="12304" width="12.7265625" customWidth="1"/>
    <col min="12305" max="12305" width="12.54296875" customWidth="1"/>
    <col min="12306" max="12306" width="11.26953125" customWidth="1"/>
    <col min="12307" max="12307" width="34.54296875" customWidth="1"/>
    <col min="12308" max="12308" width="11" bestFit="1" customWidth="1"/>
    <col min="12310" max="12310" width="14.26953125" customWidth="1"/>
    <col min="12313" max="12313" width="39.453125" customWidth="1"/>
    <col min="12315" max="12315" width="22.26953125" customWidth="1"/>
    <col min="12319" max="12319" width="21.26953125" customWidth="1"/>
    <col min="12323" max="12323" width="20.26953125" customWidth="1"/>
    <col min="12327" max="12327" width="34.453125" customWidth="1"/>
    <col min="12328" max="12328" width="26.54296875" customWidth="1"/>
    <col min="12329" max="12329" width="16.453125" customWidth="1"/>
    <col min="12330" max="12331" width="20.1796875" customWidth="1"/>
    <col min="12332" max="12332" width="37.1796875" customWidth="1"/>
    <col min="12333" max="12333" width="27" customWidth="1"/>
    <col min="12334" max="12334" width="12.1796875" customWidth="1"/>
    <col min="12335" max="12335" width="12.453125" bestFit="1" customWidth="1"/>
    <col min="12338" max="12338" width="34.81640625" customWidth="1"/>
    <col min="12343" max="12343" width="9.453125" customWidth="1"/>
    <col min="12549" max="12549" width="12" bestFit="1" customWidth="1"/>
    <col min="12550" max="12550" width="16.7265625" bestFit="1" customWidth="1"/>
    <col min="12551" max="12551" width="11.453125" customWidth="1"/>
    <col min="12552" max="12552" width="16.7265625" customWidth="1"/>
    <col min="12553" max="12553" width="11.453125" customWidth="1"/>
    <col min="12554" max="12554" width="10.1796875" customWidth="1"/>
    <col min="12555" max="12555" width="12.7265625" customWidth="1"/>
    <col min="12556" max="12556" width="11.54296875" customWidth="1"/>
    <col min="12557" max="12557" width="12" bestFit="1" customWidth="1"/>
    <col min="12558" max="12558" width="14" customWidth="1"/>
    <col min="12559" max="12559" width="11.54296875" customWidth="1"/>
    <col min="12560" max="12560" width="12.7265625" customWidth="1"/>
    <col min="12561" max="12561" width="12.54296875" customWidth="1"/>
    <col min="12562" max="12562" width="11.26953125" customWidth="1"/>
    <col min="12563" max="12563" width="34.54296875" customWidth="1"/>
    <col min="12564" max="12564" width="11" bestFit="1" customWidth="1"/>
    <col min="12566" max="12566" width="14.26953125" customWidth="1"/>
    <col min="12569" max="12569" width="39.453125" customWidth="1"/>
    <col min="12571" max="12571" width="22.26953125" customWidth="1"/>
    <col min="12575" max="12575" width="21.26953125" customWidth="1"/>
    <col min="12579" max="12579" width="20.26953125" customWidth="1"/>
    <col min="12583" max="12583" width="34.453125" customWidth="1"/>
    <col min="12584" max="12584" width="26.54296875" customWidth="1"/>
    <col min="12585" max="12585" width="16.453125" customWidth="1"/>
    <col min="12586" max="12587" width="20.1796875" customWidth="1"/>
    <col min="12588" max="12588" width="37.1796875" customWidth="1"/>
    <col min="12589" max="12589" width="27" customWidth="1"/>
    <col min="12590" max="12590" width="12.1796875" customWidth="1"/>
    <col min="12591" max="12591" width="12.453125" bestFit="1" customWidth="1"/>
    <col min="12594" max="12594" width="34.81640625" customWidth="1"/>
    <col min="12599" max="12599" width="9.453125" customWidth="1"/>
    <col min="12805" max="12805" width="12" bestFit="1" customWidth="1"/>
    <col min="12806" max="12806" width="16.7265625" bestFit="1" customWidth="1"/>
    <col min="12807" max="12807" width="11.453125" customWidth="1"/>
    <col min="12808" max="12808" width="16.7265625" customWidth="1"/>
    <col min="12809" max="12809" width="11.453125" customWidth="1"/>
    <col min="12810" max="12810" width="10.1796875" customWidth="1"/>
    <col min="12811" max="12811" width="12.7265625" customWidth="1"/>
    <col min="12812" max="12812" width="11.54296875" customWidth="1"/>
    <col min="12813" max="12813" width="12" bestFit="1" customWidth="1"/>
    <col min="12814" max="12814" width="14" customWidth="1"/>
    <col min="12815" max="12815" width="11.54296875" customWidth="1"/>
    <col min="12816" max="12816" width="12.7265625" customWidth="1"/>
    <col min="12817" max="12817" width="12.54296875" customWidth="1"/>
    <col min="12818" max="12818" width="11.26953125" customWidth="1"/>
    <col min="12819" max="12819" width="34.54296875" customWidth="1"/>
    <col min="12820" max="12820" width="11" bestFit="1" customWidth="1"/>
    <col min="12822" max="12822" width="14.26953125" customWidth="1"/>
    <col min="12825" max="12825" width="39.453125" customWidth="1"/>
    <col min="12827" max="12827" width="22.26953125" customWidth="1"/>
    <col min="12831" max="12831" width="21.26953125" customWidth="1"/>
    <col min="12835" max="12835" width="20.26953125" customWidth="1"/>
    <col min="12839" max="12839" width="34.453125" customWidth="1"/>
    <col min="12840" max="12840" width="26.54296875" customWidth="1"/>
    <col min="12841" max="12841" width="16.453125" customWidth="1"/>
    <col min="12842" max="12843" width="20.1796875" customWidth="1"/>
    <col min="12844" max="12844" width="37.1796875" customWidth="1"/>
    <col min="12845" max="12845" width="27" customWidth="1"/>
    <col min="12846" max="12846" width="12.1796875" customWidth="1"/>
    <col min="12847" max="12847" width="12.453125" bestFit="1" customWidth="1"/>
    <col min="12850" max="12850" width="34.81640625" customWidth="1"/>
    <col min="12855" max="12855" width="9.453125" customWidth="1"/>
    <col min="13061" max="13061" width="12" bestFit="1" customWidth="1"/>
    <col min="13062" max="13062" width="16.7265625" bestFit="1" customWidth="1"/>
    <col min="13063" max="13063" width="11.453125" customWidth="1"/>
    <col min="13064" max="13064" width="16.7265625" customWidth="1"/>
    <col min="13065" max="13065" width="11.453125" customWidth="1"/>
    <col min="13066" max="13066" width="10.1796875" customWidth="1"/>
    <col min="13067" max="13067" width="12.7265625" customWidth="1"/>
    <col min="13068" max="13068" width="11.54296875" customWidth="1"/>
    <col min="13069" max="13069" width="12" bestFit="1" customWidth="1"/>
    <col min="13070" max="13070" width="14" customWidth="1"/>
    <col min="13071" max="13071" width="11.54296875" customWidth="1"/>
    <col min="13072" max="13072" width="12.7265625" customWidth="1"/>
    <col min="13073" max="13073" width="12.54296875" customWidth="1"/>
    <col min="13074" max="13074" width="11.26953125" customWidth="1"/>
    <col min="13075" max="13075" width="34.54296875" customWidth="1"/>
    <col min="13076" max="13076" width="11" bestFit="1" customWidth="1"/>
    <col min="13078" max="13078" width="14.26953125" customWidth="1"/>
    <col min="13081" max="13081" width="39.453125" customWidth="1"/>
    <col min="13083" max="13083" width="22.26953125" customWidth="1"/>
    <col min="13087" max="13087" width="21.26953125" customWidth="1"/>
    <col min="13091" max="13091" width="20.26953125" customWidth="1"/>
    <col min="13095" max="13095" width="34.453125" customWidth="1"/>
    <col min="13096" max="13096" width="26.54296875" customWidth="1"/>
    <col min="13097" max="13097" width="16.453125" customWidth="1"/>
    <col min="13098" max="13099" width="20.1796875" customWidth="1"/>
    <col min="13100" max="13100" width="37.1796875" customWidth="1"/>
    <col min="13101" max="13101" width="27" customWidth="1"/>
    <col min="13102" max="13102" width="12.1796875" customWidth="1"/>
    <col min="13103" max="13103" width="12.453125" bestFit="1" customWidth="1"/>
    <col min="13106" max="13106" width="34.81640625" customWidth="1"/>
    <col min="13111" max="13111" width="9.453125" customWidth="1"/>
    <col min="13317" max="13317" width="12" bestFit="1" customWidth="1"/>
    <col min="13318" max="13318" width="16.7265625" bestFit="1" customWidth="1"/>
    <col min="13319" max="13319" width="11.453125" customWidth="1"/>
    <col min="13320" max="13320" width="16.7265625" customWidth="1"/>
    <col min="13321" max="13321" width="11.453125" customWidth="1"/>
    <col min="13322" max="13322" width="10.1796875" customWidth="1"/>
    <col min="13323" max="13323" width="12.7265625" customWidth="1"/>
    <col min="13324" max="13324" width="11.54296875" customWidth="1"/>
    <col min="13325" max="13325" width="12" bestFit="1" customWidth="1"/>
    <col min="13326" max="13326" width="14" customWidth="1"/>
    <col min="13327" max="13327" width="11.54296875" customWidth="1"/>
    <col min="13328" max="13328" width="12.7265625" customWidth="1"/>
    <col min="13329" max="13329" width="12.54296875" customWidth="1"/>
    <col min="13330" max="13330" width="11.26953125" customWidth="1"/>
    <col min="13331" max="13331" width="34.54296875" customWidth="1"/>
    <col min="13332" max="13332" width="11" bestFit="1" customWidth="1"/>
    <col min="13334" max="13334" width="14.26953125" customWidth="1"/>
    <col min="13337" max="13337" width="39.453125" customWidth="1"/>
    <col min="13339" max="13339" width="22.26953125" customWidth="1"/>
    <col min="13343" max="13343" width="21.26953125" customWidth="1"/>
    <col min="13347" max="13347" width="20.26953125" customWidth="1"/>
    <col min="13351" max="13351" width="34.453125" customWidth="1"/>
    <col min="13352" max="13352" width="26.54296875" customWidth="1"/>
    <col min="13353" max="13353" width="16.453125" customWidth="1"/>
    <col min="13354" max="13355" width="20.1796875" customWidth="1"/>
    <col min="13356" max="13356" width="37.1796875" customWidth="1"/>
    <col min="13357" max="13357" width="27" customWidth="1"/>
    <col min="13358" max="13358" width="12.1796875" customWidth="1"/>
    <col min="13359" max="13359" width="12.453125" bestFit="1" customWidth="1"/>
    <col min="13362" max="13362" width="34.81640625" customWidth="1"/>
    <col min="13367" max="13367" width="9.453125" customWidth="1"/>
    <col min="13573" max="13573" width="12" bestFit="1" customWidth="1"/>
    <col min="13574" max="13574" width="16.7265625" bestFit="1" customWidth="1"/>
    <col min="13575" max="13575" width="11.453125" customWidth="1"/>
    <col min="13576" max="13576" width="16.7265625" customWidth="1"/>
    <col min="13577" max="13577" width="11.453125" customWidth="1"/>
    <col min="13578" max="13578" width="10.1796875" customWidth="1"/>
    <col min="13579" max="13579" width="12.7265625" customWidth="1"/>
    <col min="13580" max="13580" width="11.54296875" customWidth="1"/>
    <col min="13581" max="13581" width="12" bestFit="1" customWidth="1"/>
    <col min="13582" max="13582" width="14" customWidth="1"/>
    <col min="13583" max="13583" width="11.54296875" customWidth="1"/>
    <col min="13584" max="13584" width="12.7265625" customWidth="1"/>
    <col min="13585" max="13585" width="12.54296875" customWidth="1"/>
    <col min="13586" max="13586" width="11.26953125" customWidth="1"/>
    <col min="13587" max="13587" width="34.54296875" customWidth="1"/>
    <col min="13588" max="13588" width="11" bestFit="1" customWidth="1"/>
    <col min="13590" max="13590" width="14.26953125" customWidth="1"/>
    <col min="13593" max="13593" width="39.453125" customWidth="1"/>
    <col min="13595" max="13595" width="22.26953125" customWidth="1"/>
    <col min="13599" max="13599" width="21.26953125" customWidth="1"/>
    <col min="13603" max="13603" width="20.26953125" customWidth="1"/>
    <col min="13607" max="13607" width="34.453125" customWidth="1"/>
    <col min="13608" max="13608" width="26.54296875" customWidth="1"/>
    <col min="13609" max="13609" width="16.453125" customWidth="1"/>
    <col min="13610" max="13611" width="20.1796875" customWidth="1"/>
    <col min="13612" max="13612" width="37.1796875" customWidth="1"/>
    <col min="13613" max="13613" width="27" customWidth="1"/>
    <col min="13614" max="13614" width="12.1796875" customWidth="1"/>
    <col min="13615" max="13615" width="12.453125" bestFit="1" customWidth="1"/>
    <col min="13618" max="13618" width="34.81640625" customWidth="1"/>
    <col min="13623" max="13623" width="9.453125" customWidth="1"/>
    <col min="13829" max="13829" width="12" bestFit="1" customWidth="1"/>
    <col min="13830" max="13830" width="16.7265625" bestFit="1" customWidth="1"/>
    <col min="13831" max="13831" width="11.453125" customWidth="1"/>
    <col min="13832" max="13832" width="16.7265625" customWidth="1"/>
    <col min="13833" max="13833" width="11.453125" customWidth="1"/>
    <col min="13834" max="13834" width="10.1796875" customWidth="1"/>
    <col min="13835" max="13835" width="12.7265625" customWidth="1"/>
    <col min="13836" max="13836" width="11.54296875" customWidth="1"/>
    <col min="13837" max="13837" width="12" bestFit="1" customWidth="1"/>
    <col min="13838" max="13838" width="14" customWidth="1"/>
    <col min="13839" max="13839" width="11.54296875" customWidth="1"/>
    <col min="13840" max="13840" width="12.7265625" customWidth="1"/>
    <col min="13841" max="13841" width="12.54296875" customWidth="1"/>
    <col min="13842" max="13842" width="11.26953125" customWidth="1"/>
    <col min="13843" max="13843" width="34.54296875" customWidth="1"/>
    <col min="13844" max="13844" width="11" bestFit="1" customWidth="1"/>
    <col min="13846" max="13846" width="14.26953125" customWidth="1"/>
    <col min="13849" max="13849" width="39.453125" customWidth="1"/>
    <col min="13851" max="13851" width="22.26953125" customWidth="1"/>
    <col min="13855" max="13855" width="21.26953125" customWidth="1"/>
    <col min="13859" max="13859" width="20.26953125" customWidth="1"/>
    <col min="13863" max="13863" width="34.453125" customWidth="1"/>
    <col min="13864" max="13864" width="26.54296875" customWidth="1"/>
    <col min="13865" max="13865" width="16.453125" customWidth="1"/>
    <col min="13866" max="13867" width="20.1796875" customWidth="1"/>
    <col min="13868" max="13868" width="37.1796875" customWidth="1"/>
    <col min="13869" max="13869" width="27" customWidth="1"/>
    <col min="13870" max="13870" width="12.1796875" customWidth="1"/>
    <col min="13871" max="13871" width="12.453125" bestFit="1" customWidth="1"/>
    <col min="13874" max="13874" width="34.81640625" customWidth="1"/>
    <col min="13879" max="13879" width="9.453125" customWidth="1"/>
    <col min="14085" max="14085" width="12" bestFit="1" customWidth="1"/>
    <col min="14086" max="14086" width="16.7265625" bestFit="1" customWidth="1"/>
    <col min="14087" max="14087" width="11.453125" customWidth="1"/>
    <col min="14088" max="14088" width="16.7265625" customWidth="1"/>
    <col min="14089" max="14089" width="11.453125" customWidth="1"/>
    <col min="14090" max="14090" width="10.1796875" customWidth="1"/>
    <col min="14091" max="14091" width="12.7265625" customWidth="1"/>
    <col min="14092" max="14092" width="11.54296875" customWidth="1"/>
    <col min="14093" max="14093" width="12" bestFit="1" customWidth="1"/>
    <col min="14094" max="14094" width="14" customWidth="1"/>
    <col min="14095" max="14095" width="11.54296875" customWidth="1"/>
    <col min="14096" max="14096" width="12.7265625" customWidth="1"/>
    <col min="14097" max="14097" width="12.54296875" customWidth="1"/>
    <col min="14098" max="14098" width="11.26953125" customWidth="1"/>
    <col min="14099" max="14099" width="34.54296875" customWidth="1"/>
    <col min="14100" max="14100" width="11" bestFit="1" customWidth="1"/>
    <col min="14102" max="14102" width="14.26953125" customWidth="1"/>
    <col min="14105" max="14105" width="39.453125" customWidth="1"/>
    <col min="14107" max="14107" width="22.26953125" customWidth="1"/>
    <col min="14111" max="14111" width="21.26953125" customWidth="1"/>
    <col min="14115" max="14115" width="20.26953125" customWidth="1"/>
    <col min="14119" max="14119" width="34.453125" customWidth="1"/>
    <col min="14120" max="14120" width="26.54296875" customWidth="1"/>
    <col min="14121" max="14121" width="16.453125" customWidth="1"/>
    <col min="14122" max="14123" width="20.1796875" customWidth="1"/>
    <col min="14124" max="14124" width="37.1796875" customWidth="1"/>
    <col min="14125" max="14125" width="27" customWidth="1"/>
    <col min="14126" max="14126" width="12.1796875" customWidth="1"/>
    <col min="14127" max="14127" width="12.453125" bestFit="1" customWidth="1"/>
    <col min="14130" max="14130" width="34.81640625" customWidth="1"/>
    <col min="14135" max="14135" width="9.453125" customWidth="1"/>
    <col min="14341" max="14341" width="12" bestFit="1" customWidth="1"/>
    <col min="14342" max="14342" width="16.7265625" bestFit="1" customWidth="1"/>
    <col min="14343" max="14343" width="11.453125" customWidth="1"/>
    <col min="14344" max="14344" width="16.7265625" customWidth="1"/>
    <col min="14345" max="14345" width="11.453125" customWidth="1"/>
    <col min="14346" max="14346" width="10.1796875" customWidth="1"/>
    <col min="14347" max="14347" width="12.7265625" customWidth="1"/>
    <col min="14348" max="14348" width="11.54296875" customWidth="1"/>
    <col min="14349" max="14349" width="12" bestFit="1" customWidth="1"/>
    <col min="14350" max="14350" width="14" customWidth="1"/>
    <col min="14351" max="14351" width="11.54296875" customWidth="1"/>
    <col min="14352" max="14352" width="12.7265625" customWidth="1"/>
    <col min="14353" max="14353" width="12.54296875" customWidth="1"/>
    <col min="14354" max="14354" width="11.26953125" customWidth="1"/>
    <col min="14355" max="14355" width="34.54296875" customWidth="1"/>
    <col min="14356" max="14356" width="11" bestFit="1" customWidth="1"/>
    <col min="14358" max="14358" width="14.26953125" customWidth="1"/>
    <col min="14361" max="14361" width="39.453125" customWidth="1"/>
    <col min="14363" max="14363" width="22.26953125" customWidth="1"/>
    <col min="14367" max="14367" width="21.26953125" customWidth="1"/>
    <col min="14371" max="14371" width="20.26953125" customWidth="1"/>
    <col min="14375" max="14375" width="34.453125" customWidth="1"/>
    <col min="14376" max="14376" width="26.54296875" customWidth="1"/>
    <col min="14377" max="14377" width="16.453125" customWidth="1"/>
    <col min="14378" max="14379" width="20.1796875" customWidth="1"/>
    <col min="14380" max="14380" width="37.1796875" customWidth="1"/>
    <col min="14381" max="14381" width="27" customWidth="1"/>
    <col min="14382" max="14382" width="12.1796875" customWidth="1"/>
    <col min="14383" max="14383" width="12.453125" bestFit="1" customWidth="1"/>
    <col min="14386" max="14386" width="34.81640625" customWidth="1"/>
    <col min="14391" max="14391" width="9.453125" customWidth="1"/>
    <col min="14597" max="14597" width="12" bestFit="1" customWidth="1"/>
    <col min="14598" max="14598" width="16.7265625" bestFit="1" customWidth="1"/>
    <col min="14599" max="14599" width="11.453125" customWidth="1"/>
    <col min="14600" max="14600" width="16.7265625" customWidth="1"/>
    <col min="14601" max="14601" width="11.453125" customWidth="1"/>
    <col min="14602" max="14602" width="10.1796875" customWidth="1"/>
    <col min="14603" max="14603" width="12.7265625" customWidth="1"/>
    <col min="14604" max="14604" width="11.54296875" customWidth="1"/>
    <col min="14605" max="14605" width="12" bestFit="1" customWidth="1"/>
    <col min="14606" max="14606" width="14" customWidth="1"/>
    <col min="14607" max="14607" width="11.54296875" customWidth="1"/>
    <col min="14608" max="14608" width="12.7265625" customWidth="1"/>
    <col min="14609" max="14609" width="12.54296875" customWidth="1"/>
    <col min="14610" max="14610" width="11.26953125" customWidth="1"/>
    <col min="14611" max="14611" width="34.54296875" customWidth="1"/>
    <col min="14612" max="14612" width="11" bestFit="1" customWidth="1"/>
    <col min="14614" max="14614" width="14.26953125" customWidth="1"/>
    <col min="14617" max="14617" width="39.453125" customWidth="1"/>
    <col min="14619" max="14619" width="22.26953125" customWidth="1"/>
    <col min="14623" max="14623" width="21.26953125" customWidth="1"/>
    <col min="14627" max="14627" width="20.26953125" customWidth="1"/>
    <col min="14631" max="14631" width="34.453125" customWidth="1"/>
    <col min="14632" max="14632" width="26.54296875" customWidth="1"/>
    <col min="14633" max="14633" width="16.453125" customWidth="1"/>
    <col min="14634" max="14635" width="20.1796875" customWidth="1"/>
    <col min="14636" max="14636" width="37.1796875" customWidth="1"/>
    <col min="14637" max="14637" width="27" customWidth="1"/>
    <col min="14638" max="14638" width="12.1796875" customWidth="1"/>
    <col min="14639" max="14639" width="12.453125" bestFit="1" customWidth="1"/>
    <col min="14642" max="14642" width="34.81640625" customWidth="1"/>
    <col min="14647" max="14647" width="9.453125" customWidth="1"/>
    <col min="14853" max="14853" width="12" bestFit="1" customWidth="1"/>
    <col min="14854" max="14854" width="16.7265625" bestFit="1" customWidth="1"/>
    <col min="14855" max="14855" width="11.453125" customWidth="1"/>
    <col min="14856" max="14856" width="16.7265625" customWidth="1"/>
    <col min="14857" max="14857" width="11.453125" customWidth="1"/>
    <col min="14858" max="14858" width="10.1796875" customWidth="1"/>
    <col min="14859" max="14859" width="12.7265625" customWidth="1"/>
    <col min="14860" max="14860" width="11.54296875" customWidth="1"/>
    <col min="14861" max="14861" width="12" bestFit="1" customWidth="1"/>
    <col min="14862" max="14862" width="14" customWidth="1"/>
    <col min="14863" max="14863" width="11.54296875" customWidth="1"/>
    <col min="14864" max="14864" width="12.7265625" customWidth="1"/>
    <col min="14865" max="14865" width="12.54296875" customWidth="1"/>
    <col min="14866" max="14866" width="11.26953125" customWidth="1"/>
    <col min="14867" max="14867" width="34.54296875" customWidth="1"/>
    <col min="14868" max="14868" width="11" bestFit="1" customWidth="1"/>
    <col min="14870" max="14870" width="14.26953125" customWidth="1"/>
    <col min="14873" max="14873" width="39.453125" customWidth="1"/>
    <col min="14875" max="14875" width="22.26953125" customWidth="1"/>
    <col min="14879" max="14879" width="21.26953125" customWidth="1"/>
    <col min="14883" max="14883" width="20.26953125" customWidth="1"/>
    <col min="14887" max="14887" width="34.453125" customWidth="1"/>
    <col min="14888" max="14888" width="26.54296875" customWidth="1"/>
    <col min="14889" max="14889" width="16.453125" customWidth="1"/>
    <col min="14890" max="14891" width="20.1796875" customWidth="1"/>
    <col min="14892" max="14892" width="37.1796875" customWidth="1"/>
    <col min="14893" max="14893" width="27" customWidth="1"/>
    <col min="14894" max="14894" width="12.1796875" customWidth="1"/>
    <col min="14895" max="14895" width="12.453125" bestFit="1" customWidth="1"/>
    <col min="14898" max="14898" width="34.81640625" customWidth="1"/>
    <col min="14903" max="14903" width="9.453125" customWidth="1"/>
    <col min="15109" max="15109" width="12" bestFit="1" customWidth="1"/>
    <col min="15110" max="15110" width="16.7265625" bestFit="1" customWidth="1"/>
    <col min="15111" max="15111" width="11.453125" customWidth="1"/>
    <col min="15112" max="15112" width="16.7265625" customWidth="1"/>
    <col min="15113" max="15113" width="11.453125" customWidth="1"/>
    <col min="15114" max="15114" width="10.1796875" customWidth="1"/>
    <col min="15115" max="15115" width="12.7265625" customWidth="1"/>
    <col min="15116" max="15116" width="11.54296875" customWidth="1"/>
    <col min="15117" max="15117" width="12" bestFit="1" customWidth="1"/>
    <col min="15118" max="15118" width="14" customWidth="1"/>
    <col min="15119" max="15119" width="11.54296875" customWidth="1"/>
    <col min="15120" max="15120" width="12.7265625" customWidth="1"/>
    <col min="15121" max="15121" width="12.54296875" customWidth="1"/>
    <col min="15122" max="15122" width="11.26953125" customWidth="1"/>
    <col min="15123" max="15123" width="34.54296875" customWidth="1"/>
    <col min="15124" max="15124" width="11" bestFit="1" customWidth="1"/>
    <col min="15126" max="15126" width="14.26953125" customWidth="1"/>
    <col min="15129" max="15129" width="39.453125" customWidth="1"/>
    <col min="15131" max="15131" width="22.26953125" customWidth="1"/>
    <col min="15135" max="15135" width="21.26953125" customWidth="1"/>
    <col min="15139" max="15139" width="20.26953125" customWidth="1"/>
    <col min="15143" max="15143" width="34.453125" customWidth="1"/>
    <col min="15144" max="15144" width="26.54296875" customWidth="1"/>
    <col min="15145" max="15145" width="16.453125" customWidth="1"/>
    <col min="15146" max="15147" width="20.1796875" customWidth="1"/>
    <col min="15148" max="15148" width="37.1796875" customWidth="1"/>
    <col min="15149" max="15149" width="27" customWidth="1"/>
    <col min="15150" max="15150" width="12.1796875" customWidth="1"/>
    <col min="15151" max="15151" width="12.453125" bestFit="1" customWidth="1"/>
    <col min="15154" max="15154" width="34.81640625" customWidth="1"/>
    <col min="15159" max="15159" width="9.453125" customWidth="1"/>
    <col min="15365" max="15365" width="12" bestFit="1" customWidth="1"/>
    <col min="15366" max="15366" width="16.7265625" bestFit="1" customWidth="1"/>
    <col min="15367" max="15367" width="11.453125" customWidth="1"/>
    <col min="15368" max="15368" width="16.7265625" customWidth="1"/>
    <col min="15369" max="15369" width="11.453125" customWidth="1"/>
    <col min="15370" max="15370" width="10.1796875" customWidth="1"/>
    <col min="15371" max="15371" width="12.7265625" customWidth="1"/>
    <col min="15372" max="15372" width="11.54296875" customWidth="1"/>
    <col min="15373" max="15373" width="12" bestFit="1" customWidth="1"/>
    <col min="15374" max="15374" width="14" customWidth="1"/>
    <col min="15375" max="15375" width="11.54296875" customWidth="1"/>
    <col min="15376" max="15376" width="12.7265625" customWidth="1"/>
    <col min="15377" max="15377" width="12.54296875" customWidth="1"/>
    <col min="15378" max="15378" width="11.26953125" customWidth="1"/>
    <col min="15379" max="15379" width="34.54296875" customWidth="1"/>
    <col min="15380" max="15380" width="11" bestFit="1" customWidth="1"/>
    <col min="15382" max="15382" width="14.26953125" customWidth="1"/>
    <col min="15385" max="15385" width="39.453125" customWidth="1"/>
    <col min="15387" max="15387" width="22.26953125" customWidth="1"/>
    <col min="15391" max="15391" width="21.26953125" customWidth="1"/>
    <col min="15395" max="15395" width="20.26953125" customWidth="1"/>
    <col min="15399" max="15399" width="34.453125" customWidth="1"/>
    <col min="15400" max="15400" width="26.54296875" customWidth="1"/>
    <col min="15401" max="15401" width="16.453125" customWidth="1"/>
    <col min="15402" max="15403" width="20.1796875" customWidth="1"/>
    <col min="15404" max="15404" width="37.1796875" customWidth="1"/>
    <col min="15405" max="15405" width="27" customWidth="1"/>
    <col min="15406" max="15406" width="12.1796875" customWidth="1"/>
    <col min="15407" max="15407" width="12.453125" bestFit="1" customWidth="1"/>
    <col min="15410" max="15410" width="34.81640625" customWidth="1"/>
    <col min="15415" max="15415" width="9.453125" customWidth="1"/>
    <col min="15621" max="15621" width="12" bestFit="1" customWidth="1"/>
    <col min="15622" max="15622" width="16.7265625" bestFit="1" customWidth="1"/>
    <col min="15623" max="15623" width="11.453125" customWidth="1"/>
    <col min="15624" max="15624" width="16.7265625" customWidth="1"/>
    <col min="15625" max="15625" width="11.453125" customWidth="1"/>
    <col min="15626" max="15626" width="10.1796875" customWidth="1"/>
    <col min="15627" max="15627" width="12.7265625" customWidth="1"/>
    <col min="15628" max="15628" width="11.54296875" customWidth="1"/>
    <col min="15629" max="15629" width="12" bestFit="1" customWidth="1"/>
    <col min="15630" max="15630" width="14" customWidth="1"/>
    <col min="15631" max="15631" width="11.54296875" customWidth="1"/>
    <col min="15632" max="15632" width="12.7265625" customWidth="1"/>
    <col min="15633" max="15633" width="12.54296875" customWidth="1"/>
    <col min="15634" max="15634" width="11.26953125" customWidth="1"/>
    <col min="15635" max="15635" width="34.54296875" customWidth="1"/>
    <col min="15636" max="15636" width="11" bestFit="1" customWidth="1"/>
    <col min="15638" max="15638" width="14.26953125" customWidth="1"/>
    <col min="15641" max="15641" width="39.453125" customWidth="1"/>
    <col min="15643" max="15643" width="22.26953125" customWidth="1"/>
    <col min="15647" max="15647" width="21.26953125" customWidth="1"/>
    <col min="15651" max="15651" width="20.26953125" customWidth="1"/>
    <col min="15655" max="15655" width="34.453125" customWidth="1"/>
    <col min="15656" max="15656" width="26.54296875" customWidth="1"/>
    <col min="15657" max="15657" width="16.453125" customWidth="1"/>
    <col min="15658" max="15659" width="20.1796875" customWidth="1"/>
    <col min="15660" max="15660" width="37.1796875" customWidth="1"/>
    <col min="15661" max="15661" width="27" customWidth="1"/>
    <col min="15662" max="15662" width="12.1796875" customWidth="1"/>
    <col min="15663" max="15663" width="12.453125" bestFit="1" customWidth="1"/>
    <col min="15666" max="15666" width="34.81640625" customWidth="1"/>
    <col min="15671" max="15671" width="9.453125" customWidth="1"/>
    <col min="15877" max="15877" width="12" bestFit="1" customWidth="1"/>
    <col min="15878" max="15878" width="16.7265625" bestFit="1" customWidth="1"/>
    <col min="15879" max="15879" width="11.453125" customWidth="1"/>
    <col min="15880" max="15880" width="16.7265625" customWidth="1"/>
    <col min="15881" max="15881" width="11.453125" customWidth="1"/>
    <col min="15882" max="15882" width="10.1796875" customWidth="1"/>
    <col min="15883" max="15883" width="12.7265625" customWidth="1"/>
    <col min="15884" max="15884" width="11.54296875" customWidth="1"/>
    <col min="15885" max="15885" width="12" bestFit="1" customWidth="1"/>
    <col min="15886" max="15886" width="14" customWidth="1"/>
    <col min="15887" max="15887" width="11.54296875" customWidth="1"/>
    <col min="15888" max="15888" width="12.7265625" customWidth="1"/>
    <col min="15889" max="15889" width="12.54296875" customWidth="1"/>
    <col min="15890" max="15890" width="11.26953125" customWidth="1"/>
    <col min="15891" max="15891" width="34.54296875" customWidth="1"/>
    <col min="15892" max="15892" width="11" bestFit="1" customWidth="1"/>
    <col min="15894" max="15894" width="14.26953125" customWidth="1"/>
    <col min="15897" max="15897" width="39.453125" customWidth="1"/>
    <col min="15899" max="15899" width="22.26953125" customWidth="1"/>
    <col min="15903" max="15903" width="21.26953125" customWidth="1"/>
    <col min="15907" max="15907" width="20.26953125" customWidth="1"/>
    <col min="15911" max="15911" width="34.453125" customWidth="1"/>
    <col min="15912" max="15912" width="26.54296875" customWidth="1"/>
    <col min="15913" max="15913" width="16.453125" customWidth="1"/>
    <col min="15914" max="15915" width="20.1796875" customWidth="1"/>
    <col min="15916" max="15916" width="37.1796875" customWidth="1"/>
    <col min="15917" max="15917" width="27" customWidth="1"/>
    <col min="15918" max="15918" width="12.1796875" customWidth="1"/>
    <col min="15919" max="15919" width="12.453125" bestFit="1" customWidth="1"/>
    <col min="15922" max="15922" width="34.81640625" customWidth="1"/>
    <col min="15927" max="15927" width="9.453125" customWidth="1"/>
    <col min="16133" max="16133" width="12" bestFit="1" customWidth="1"/>
    <col min="16134" max="16134" width="16.7265625" bestFit="1" customWidth="1"/>
    <col min="16135" max="16135" width="11.453125" customWidth="1"/>
    <col min="16136" max="16136" width="16.7265625" customWidth="1"/>
    <col min="16137" max="16137" width="11.453125" customWidth="1"/>
    <col min="16138" max="16138" width="10.1796875" customWidth="1"/>
    <col min="16139" max="16139" width="12.7265625" customWidth="1"/>
    <col min="16140" max="16140" width="11.54296875" customWidth="1"/>
    <col min="16141" max="16141" width="12" bestFit="1" customWidth="1"/>
    <col min="16142" max="16142" width="14" customWidth="1"/>
    <col min="16143" max="16143" width="11.54296875" customWidth="1"/>
    <col min="16144" max="16144" width="12.7265625" customWidth="1"/>
    <col min="16145" max="16145" width="12.54296875" customWidth="1"/>
    <col min="16146" max="16146" width="11.26953125" customWidth="1"/>
    <col min="16147" max="16147" width="34.54296875" customWidth="1"/>
    <col min="16148" max="16148" width="11" bestFit="1" customWidth="1"/>
    <col min="16150" max="16150" width="14.26953125" customWidth="1"/>
    <col min="16153" max="16153" width="39.453125" customWidth="1"/>
    <col min="16155" max="16155" width="22.26953125" customWidth="1"/>
    <col min="16159" max="16159" width="21.26953125" customWidth="1"/>
    <col min="16163" max="16163" width="20.26953125" customWidth="1"/>
    <col min="16167" max="16167" width="34.453125" customWidth="1"/>
    <col min="16168" max="16168" width="26.54296875" customWidth="1"/>
    <col min="16169" max="16169" width="16.453125" customWidth="1"/>
    <col min="16170" max="16171" width="20.1796875" customWidth="1"/>
    <col min="16172" max="16172" width="37.1796875" customWidth="1"/>
    <col min="16173" max="16173" width="27" customWidth="1"/>
    <col min="16174" max="16174" width="12.1796875" customWidth="1"/>
    <col min="16175" max="16175" width="12.453125" bestFit="1" customWidth="1"/>
    <col min="16178" max="16178" width="34.81640625" customWidth="1"/>
    <col min="16183" max="16183" width="9.453125" customWidth="1"/>
  </cols>
  <sheetData>
    <row r="1" spans="1:68" s="41" customFormat="1">
      <c r="BN1" s="196"/>
      <c r="BO1" s="196"/>
      <c r="BP1" s="196"/>
    </row>
    <row r="2" spans="1:68" s="41" customFormat="1">
      <c r="BN2" s="42"/>
      <c r="BO2" s="42"/>
      <c r="BP2" s="42"/>
    </row>
    <row r="3" spans="1:68" s="41" customFormat="1">
      <c r="BN3" s="42"/>
      <c r="BO3" s="42"/>
      <c r="BP3" s="42"/>
    </row>
    <row r="4" spans="1:68" s="41" customFormat="1">
      <c r="BN4" s="42"/>
      <c r="BO4" s="42"/>
      <c r="BP4" s="42"/>
    </row>
    <row r="5" spans="1:68" s="41" customFormat="1">
      <c r="BN5" s="42"/>
      <c r="BO5" s="42"/>
      <c r="BP5" s="42"/>
    </row>
    <row r="6" spans="1:68" s="41" customFormat="1">
      <c r="BN6" s="42"/>
      <c r="BO6" s="42"/>
      <c r="BP6" s="42"/>
    </row>
    <row r="7" spans="1:68" s="41" customFormat="1">
      <c r="BN7" s="42"/>
      <c r="BO7" s="42"/>
      <c r="BP7" s="42"/>
    </row>
    <row r="8" spans="1:68" s="41" customFormat="1">
      <c r="BN8" s="42"/>
      <c r="BO8" s="42"/>
      <c r="BP8" s="42"/>
    </row>
    <row r="9" spans="1:68" s="41" customFormat="1">
      <c r="BN9" s="42"/>
      <c r="BO9" s="42"/>
      <c r="BP9" s="42"/>
    </row>
    <row r="10" spans="1:68" s="41" customFormat="1">
      <c r="BN10" s="42"/>
      <c r="BO10" s="42"/>
      <c r="BP10" s="42"/>
    </row>
    <row r="11" spans="1:68" s="41" customFormat="1">
      <c r="BN11" s="42"/>
      <c r="BO11" s="42"/>
      <c r="BP11" s="42"/>
    </row>
    <row r="12" spans="1:68" s="41" customFormat="1">
      <c r="BN12" s="42"/>
      <c r="BO12" s="42"/>
      <c r="BP12" s="42"/>
    </row>
    <row r="13" spans="1:68" s="41" customFormat="1">
      <c r="BN13" s="42"/>
      <c r="BO13" s="42"/>
      <c r="BP13" s="42"/>
    </row>
    <row r="14" spans="1:68" s="41" customFormat="1">
      <c r="BN14" s="42"/>
      <c r="BO14" s="42"/>
      <c r="BP14" s="42"/>
    </row>
    <row r="15" spans="1:68" s="41" customFormat="1">
      <c r="BN15" s="42"/>
      <c r="BO15" s="42"/>
      <c r="BP15" s="42"/>
    </row>
    <row r="16" spans="1:68" ht="15.75" customHeight="1">
      <c r="A16" s="197" t="s">
        <v>146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8"/>
      <c r="M16" s="198"/>
      <c r="N16" s="198"/>
      <c r="O16" s="199" t="s">
        <v>147</v>
      </c>
      <c r="P16" s="200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BN16" s="42"/>
      <c r="BO16" s="42"/>
      <c r="BP16" s="42"/>
    </row>
    <row r="17" spans="1:68" ht="15.5">
      <c r="A17" s="201" t="s">
        <v>148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198"/>
      <c r="M17" s="198"/>
      <c r="N17" s="198"/>
      <c r="O17" s="199"/>
      <c r="P17" s="200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BN17" s="42"/>
      <c r="BO17" s="42"/>
      <c r="BP17" s="42"/>
    </row>
    <row r="18" spans="1:68" s="41" customFormat="1" ht="15.75" customHeight="1" thickBot="1">
      <c r="O18" s="184" t="s">
        <v>149</v>
      </c>
      <c r="P18" s="185"/>
      <c r="BN18" s="42"/>
      <c r="BO18" s="42"/>
      <c r="BP18" s="42"/>
    </row>
    <row r="19" spans="1:68" ht="15.75" customHeight="1" thickBot="1">
      <c r="A19" s="191" t="s">
        <v>150</v>
      </c>
      <c r="B19" s="194"/>
      <c r="C19" s="194"/>
      <c r="D19" s="194"/>
      <c r="E19" s="195"/>
      <c r="F19" s="41"/>
      <c r="G19" s="41"/>
      <c r="H19" s="41"/>
      <c r="I19" s="41"/>
      <c r="J19" s="191" t="s">
        <v>151</v>
      </c>
      <c r="K19" s="187"/>
      <c r="L19" s="187"/>
      <c r="M19" s="187"/>
      <c r="N19" s="188"/>
      <c r="O19" s="184" t="s">
        <v>152</v>
      </c>
      <c r="P19" s="185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BN19" s="42"/>
      <c r="BO19" s="42"/>
      <c r="BP19" s="42"/>
    </row>
    <row r="20" spans="1:68" ht="15.75" customHeight="1">
      <c r="A20" s="43"/>
      <c r="B20" s="44"/>
      <c r="C20" s="44"/>
      <c r="D20" s="44"/>
      <c r="E20" s="45"/>
      <c r="F20" s="41"/>
      <c r="G20" s="41"/>
      <c r="H20" s="41"/>
      <c r="I20" s="41"/>
      <c r="J20" s="181" t="s">
        <v>153</v>
      </c>
      <c r="K20" s="182"/>
      <c r="L20" s="183"/>
      <c r="M20" s="96">
        <v>8.8999999999999996E-2</v>
      </c>
      <c r="N20" s="97" t="s">
        <v>8</v>
      </c>
      <c r="O20" s="184" t="s">
        <v>154</v>
      </c>
      <c r="P20" s="185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BN20" s="42"/>
      <c r="BO20" s="42"/>
      <c r="BP20" s="42"/>
    </row>
    <row r="21" spans="1:68" ht="15.5">
      <c r="A21" s="43"/>
      <c r="B21" s="44"/>
      <c r="C21" s="44"/>
      <c r="D21" s="44"/>
      <c r="E21" s="45"/>
      <c r="F21" s="41"/>
      <c r="G21" s="41"/>
      <c r="H21" s="41"/>
      <c r="I21" s="41"/>
      <c r="J21" s="46" t="s">
        <v>155</v>
      </c>
      <c r="K21" s="47"/>
      <c r="L21" s="47"/>
      <c r="M21" s="98">
        <v>1.87</v>
      </c>
      <c r="N21" s="99" t="s">
        <v>5</v>
      </c>
      <c r="O21" s="184"/>
      <c r="P21" s="185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BN21" s="42"/>
      <c r="BO21" s="42"/>
      <c r="BP21" s="42"/>
    </row>
    <row r="22" spans="1:68">
      <c r="A22" s="43"/>
      <c r="B22" s="44"/>
      <c r="C22" s="44"/>
      <c r="D22" s="44"/>
      <c r="E22" s="45"/>
      <c r="F22" s="41"/>
      <c r="G22" s="41"/>
      <c r="H22" s="41"/>
      <c r="I22" s="41"/>
      <c r="J22" s="46" t="s">
        <v>156</v>
      </c>
      <c r="K22" s="47"/>
      <c r="L22" s="47"/>
      <c r="M22" s="100">
        <f>+Dmax*(Vin-Vout)/(Lout*0.000001)</f>
        <v>200250</v>
      </c>
      <c r="N22" s="99" t="s">
        <v>157</v>
      </c>
      <c r="O22" s="41" t="s">
        <v>158</v>
      </c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BN22" s="42"/>
      <c r="BO22" s="42"/>
      <c r="BP22" s="42"/>
    </row>
    <row r="23" spans="1:68" ht="16" thickBot="1">
      <c r="A23" s="43"/>
      <c r="B23" s="44"/>
      <c r="C23" s="44"/>
      <c r="D23" s="44"/>
      <c r="E23" s="45"/>
      <c r="F23" s="41"/>
      <c r="G23" s="41"/>
      <c r="H23" s="41"/>
      <c r="I23" s="41"/>
      <c r="J23" s="46" t="s">
        <v>159</v>
      </c>
      <c r="K23" s="47"/>
      <c r="L23" s="47"/>
      <c r="M23" s="100">
        <f>1+Se*C28/(Sn)</f>
        <v>5.6691635455680398</v>
      </c>
      <c r="N23" s="99" t="s">
        <v>157</v>
      </c>
      <c r="O23" s="41" t="s">
        <v>160</v>
      </c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BN23" s="42"/>
      <c r="BO23" s="42"/>
      <c r="BP23" s="42"/>
    </row>
    <row r="24" spans="1:68">
      <c r="A24" s="48"/>
      <c r="B24" s="49" t="s">
        <v>161</v>
      </c>
      <c r="C24" s="50">
        <f>SQRT(1/(Lout*0.000001*ncap*Cap*0.000001*(Rout+ESR*0.001/ncap)/(Rout+DCR*0.001)))</f>
        <v>41256.972620873996</v>
      </c>
      <c r="D24" s="51" t="s">
        <v>126</v>
      </c>
      <c r="E24" s="48"/>
      <c r="F24" s="41"/>
      <c r="G24" s="41"/>
      <c r="H24" s="41"/>
      <c r="I24" s="41"/>
      <c r="J24" s="46" t="s">
        <v>162</v>
      </c>
      <c r="K24" s="47"/>
      <c r="L24" s="47"/>
      <c r="M24" s="101">
        <v>10000000</v>
      </c>
      <c r="N24" s="99" t="s">
        <v>163</v>
      </c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BN24" s="42"/>
      <c r="BO24" s="42"/>
      <c r="BP24" s="42"/>
    </row>
    <row r="25" spans="1:68">
      <c r="A25" s="52"/>
      <c r="B25" s="53" t="s">
        <v>164</v>
      </c>
      <c r="C25" s="54">
        <f>1/(2*PI()*Cap*0.000001*ESR*0.001)</f>
        <v>4547284.0883398661</v>
      </c>
      <c r="D25" s="55" t="s">
        <v>126</v>
      </c>
      <c r="E25" s="52"/>
      <c r="F25" s="41"/>
      <c r="G25" s="41"/>
      <c r="H25" s="41"/>
      <c r="I25" s="41"/>
      <c r="J25" s="46" t="s">
        <v>165</v>
      </c>
      <c r="K25" s="47"/>
      <c r="L25" s="47"/>
      <c r="M25" s="101">
        <v>0.8</v>
      </c>
      <c r="N25" s="99" t="s">
        <v>5</v>
      </c>
      <c r="O25" s="41" t="s">
        <v>270</v>
      </c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BN25" s="42"/>
      <c r="BO25" s="42"/>
      <c r="BP25" s="42"/>
    </row>
    <row r="26" spans="1:68" ht="15" thickBot="1">
      <c r="A26" s="52"/>
      <c r="B26" s="53" t="s">
        <v>166</v>
      </c>
      <c r="C26" s="54">
        <f>1/(2*PI()*Cap*0.000001*ncap*(ESR*0.001/ncap+Vout/Iout))</f>
        <v>649.51922415938691</v>
      </c>
      <c r="D26" s="55" t="s">
        <v>126</v>
      </c>
      <c r="E26" s="52"/>
      <c r="F26" s="41"/>
      <c r="G26" s="41"/>
      <c r="H26" s="41"/>
      <c r="I26" s="41"/>
      <c r="J26" s="56" t="s">
        <v>167</v>
      </c>
      <c r="K26" s="57"/>
      <c r="L26" s="57"/>
      <c r="M26" s="102">
        <v>1.4999999999999999E-4</v>
      </c>
      <c r="N26" s="103" t="s">
        <v>168</v>
      </c>
      <c r="O26" s="41" t="s">
        <v>271</v>
      </c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BN26" s="42"/>
      <c r="BO26" s="42"/>
      <c r="BP26" s="42"/>
    </row>
    <row r="27" spans="1:68" ht="15" thickBot="1">
      <c r="A27" s="52"/>
      <c r="B27" s="53" t="s">
        <v>169</v>
      </c>
      <c r="C27" s="59">
        <f>1/(Gdo*(Cap*0.000001*ESR*0.001*Vout/(Iout*(Vout/Iout+DCR*0.001))+(Vout/Iout+ESR*0.001)*Cap*0.000001*ncap*DCR*0.001/(Vout/Iout+DCR*0.001)+Lout*0.000001/(Vout/Iout+DCR*0.001)))</f>
        <v>9.0523685285390201</v>
      </c>
      <c r="D27" s="55"/>
      <c r="E27" s="52"/>
      <c r="F27" s="41"/>
      <c r="G27" s="41"/>
      <c r="H27" s="41"/>
      <c r="I27" s="41"/>
      <c r="J27" s="186" t="s">
        <v>170</v>
      </c>
      <c r="K27" s="187"/>
      <c r="L27" s="188"/>
      <c r="M27" s="189" t="s">
        <v>171</v>
      </c>
      <c r="N27" s="190"/>
      <c r="O27" s="41" t="s">
        <v>272</v>
      </c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BN27" s="42"/>
      <c r="BO27" s="42"/>
      <c r="BP27" s="42"/>
    </row>
    <row r="28" spans="1:68" ht="15" thickBot="1">
      <c r="A28" s="60"/>
      <c r="B28" s="61" t="s">
        <v>172</v>
      </c>
      <c r="C28" s="62">
        <f>+Fs*1000</f>
        <v>500000</v>
      </c>
      <c r="D28" s="63" t="s">
        <v>126</v>
      </c>
      <c r="E28" s="60"/>
      <c r="F28" s="41"/>
      <c r="G28" s="41"/>
      <c r="H28" s="41"/>
      <c r="I28" s="41"/>
      <c r="J28" s="64" t="s">
        <v>173</v>
      </c>
      <c r="K28" s="131">
        <v>0.1</v>
      </c>
      <c r="L28" s="65" t="s">
        <v>174</v>
      </c>
      <c r="M28" s="104">
        <f>+C28*K28</f>
        <v>50000</v>
      </c>
      <c r="N28" s="66" t="s">
        <v>126</v>
      </c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BN28" s="42"/>
      <c r="BO28" s="42"/>
      <c r="BP28" s="42"/>
    </row>
    <row r="29" spans="1:68" ht="15.75" customHeight="1" thickBot="1">
      <c r="A29" s="41"/>
      <c r="B29" s="41"/>
      <c r="C29" s="41"/>
      <c r="D29" s="41"/>
      <c r="E29" s="41"/>
      <c r="F29" s="41"/>
      <c r="G29" s="41"/>
      <c r="H29" s="41"/>
      <c r="I29" s="41"/>
      <c r="J29" s="43" t="s">
        <v>253</v>
      </c>
      <c r="K29" s="67">
        <f>2*PI()*Fc*Vout*Cap*ncap*0.000001*Dmax/(EA_BW*VFB)</f>
        <v>57085.356509604535</v>
      </c>
      <c r="L29" s="68" t="s">
        <v>163</v>
      </c>
      <c r="M29" s="112">
        <v>37000</v>
      </c>
      <c r="N29" s="68" t="s">
        <v>163</v>
      </c>
      <c r="O29" s="132"/>
      <c r="P29" s="133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BN29" s="42"/>
      <c r="BO29" s="42"/>
      <c r="BP29" s="42"/>
    </row>
    <row r="30" spans="1:68" ht="15.75" customHeight="1" thickBot="1">
      <c r="A30" s="191" t="s">
        <v>175</v>
      </c>
      <c r="B30" s="192"/>
      <c r="C30" s="192"/>
      <c r="D30" s="192"/>
      <c r="E30" s="192"/>
      <c r="F30" s="192"/>
      <c r="G30" s="193"/>
      <c r="H30" s="41"/>
      <c r="I30" s="41"/>
      <c r="J30" s="43" t="s">
        <v>244</v>
      </c>
      <c r="K30" s="69">
        <f>1/(2*PI()*K29*F0)</f>
        <v>4.2924318070742562E-9</v>
      </c>
      <c r="L30" s="68" t="s">
        <v>176</v>
      </c>
      <c r="M30" s="112">
        <v>2.7000000000000002E-9</v>
      </c>
      <c r="N30" s="68" t="s">
        <v>176</v>
      </c>
      <c r="O30" s="132"/>
      <c r="P30" s="133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BN30" s="42"/>
      <c r="BO30" s="42"/>
      <c r="BP30" s="42"/>
    </row>
    <row r="31" spans="1:68" ht="15.75" customHeight="1" thickBot="1">
      <c r="A31" s="176" t="s">
        <v>177</v>
      </c>
      <c r="B31" s="177"/>
      <c r="C31" s="70">
        <f>+_Rfb2*(Vout/VFB-1)</f>
        <v>157500</v>
      </c>
      <c r="D31" s="71" t="s">
        <v>8</v>
      </c>
      <c r="E31" s="72"/>
      <c r="F31" s="72"/>
      <c r="G31" s="51" t="s">
        <v>8</v>
      </c>
      <c r="H31" s="41"/>
      <c r="I31" s="41"/>
      <c r="J31" s="43" t="s">
        <v>245</v>
      </c>
      <c r="K31" s="69">
        <f>1/(2*PI()*K29*C28*0.5)</f>
        <v>1.1152067908351786E-11</v>
      </c>
      <c r="L31" s="80" t="s">
        <v>176</v>
      </c>
      <c r="M31" s="112">
        <v>1.5E-11</v>
      </c>
      <c r="N31" s="80" t="s">
        <v>176</v>
      </c>
      <c r="O31" s="41" t="s">
        <v>273</v>
      </c>
      <c r="P31" s="133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BN31" s="42"/>
      <c r="BO31" s="42"/>
      <c r="BP31" s="42"/>
    </row>
    <row r="32" spans="1:68" ht="15" thickBot="1">
      <c r="A32" s="174" t="s">
        <v>178</v>
      </c>
      <c r="B32" s="175"/>
      <c r="C32" s="58">
        <v>30000</v>
      </c>
      <c r="D32" s="73" t="s">
        <v>8</v>
      </c>
      <c r="E32" s="60" t="str">
        <f>IF(_Rfb2&gt;30000, "Please lower R2", " ")</f>
        <v xml:space="preserve"> </v>
      </c>
      <c r="F32" s="74"/>
      <c r="G32" s="63"/>
      <c r="H32" s="41"/>
      <c r="I32" s="41"/>
      <c r="J32" s="75" t="s">
        <v>179</v>
      </c>
      <c r="K32" s="76">
        <f>1/(2*PI()*K29*K30)</f>
        <v>649.51922415938691</v>
      </c>
      <c r="L32" s="66" t="s">
        <v>126</v>
      </c>
      <c r="M32" s="111">
        <f>1/(2*PI()*M29*M30)</f>
        <v>1593.1425734924458</v>
      </c>
      <c r="N32" s="66" t="s">
        <v>126</v>
      </c>
      <c r="O32" s="41" t="s">
        <v>274</v>
      </c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BN32" s="42"/>
      <c r="BO32" s="42"/>
      <c r="BP32" s="42"/>
    </row>
    <row r="33" spans="1:68" ht="15" thickBot="1">
      <c r="A33" s="176" t="s">
        <v>267</v>
      </c>
      <c r="B33" s="177"/>
      <c r="C33" s="77">
        <v>3.9000000000000001E-11</v>
      </c>
      <c r="D33" s="51" t="s">
        <v>176</v>
      </c>
      <c r="E33" s="44"/>
      <c r="F33" s="41"/>
      <c r="G33" s="41"/>
      <c r="H33" s="41"/>
      <c r="I33" s="41"/>
      <c r="J33" s="78" t="s">
        <v>180</v>
      </c>
      <c r="K33" s="79">
        <f>1/(2*PI()*K29*K31)</f>
        <v>250000</v>
      </c>
      <c r="L33" s="68" t="s">
        <v>126</v>
      </c>
      <c r="M33" s="69">
        <f>1/(2*PI()*M29*M31)</f>
        <v>286765.66322864022</v>
      </c>
      <c r="N33" s="68" t="s">
        <v>126</v>
      </c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BN33" s="42"/>
      <c r="BO33" s="42"/>
      <c r="BP33" s="42"/>
    </row>
    <row r="34" spans="1:68" ht="15" thickBot="1">
      <c r="A34" s="178" t="s">
        <v>181</v>
      </c>
      <c r="B34" s="179"/>
      <c r="C34" s="88">
        <v>1.0000000000000001E-18</v>
      </c>
      <c r="D34" s="89"/>
      <c r="E34" s="44"/>
      <c r="F34" s="41"/>
      <c r="G34" s="41"/>
      <c r="H34" s="41"/>
      <c r="I34" s="41"/>
      <c r="J34" s="41"/>
      <c r="K34" s="41"/>
      <c r="L34" s="65" t="s">
        <v>182</v>
      </c>
      <c r="M34" s="85">
        <f>LOOKUP(1,BH64:BH264,B64:B264)/1000</f>
        <v>26.302679918953817</v>
      </c>
      <c r="N34" s="66" t="s">
        <v>2</v>
      </c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BN34" s="42"/>
      <c r="BO34" s="42"/>
      <c r="BP34" s="42"/>
    </row>
    <row r="35" spans="1:68" ht="18">
      <c r="A35" s="41"/>
      <c r="B35" s="44"/>
      <c r="C35" s="41"/>
      <c r="D35" s="41"/>
      <c r="E35" s="41"/>
      <c r="F35" s="41"/>
      <c r="G35" s="41"/>
      <c r="H35" s="41"/>
      <c r="I35" s="41"/>
      <c r="J35" s="41"/>
      <c r="K35" s="41"/>
      <c r="L35" s="87" t="s">
        <v>183</v>
      </c>
      <c r="M35" s="86">
        <f>LOOKUP(1,BH64:BH264,BF64:BF264)</f>
        <v>59.834655801621309</v>
      </c>
      <c r="N35" s="68" t="s">
        <v>184</v>
      </c>
      <c r="O35" s="3" t="str">
        <f>IF(M35&lt;45,"Desired Phase Margin should be &gt;45 degree, Recommend to inrease Cout or adjust C4", " ")</f>
        <v xml:space="preserve"> </v>
      </c>
      <c r="P35" s="130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BN35" s="42"/>
      <c r="BO35" s="42"/>
      <c r="BP35" s="42"/>
    </row>
    <row r="36" spans="1:68" s="82" customFormat="1" ht="18.5" thickBot="1">
      <c r="A36" s="159"/>
      <c r="B36" s="159"/>
      <c r="C36" s="159"/>
      <c r="D36" s="159"/>
      <c r="E36" s="159"/>
      <c r="F36" s="159"/>
      <c r="G36" s="159"/>
      <c r="H36" s="159"/>
      <c r="I36" s="160"/>
      <c r="J36" s="161"/>
      <c r="K36" s="160"/>
      <c r="L36" s="172" t="s">
        <v>242</v>
      </c>
      <c r="M36" s="171">
        <f>LOOKUP(1,BI65:BI265,BE65:BE265)</f>
        <v>-17.087091178858415</v>
      </c>
      <c r="N36" s="170" t="s">
        <v>247</v>
      </c>
      <c r="O36" s="162" t="str">
        <f>IF(M36 &gt; -10,"Desired Gain margin should be &lt;-10dB, Recommend to increase Cout ", " ")</f>
        <v xml:space="preserve"> </v>
      </c>
      <c r="P36" s="159"/>
      <c r="Q36" s="159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BN36" s="42"/>
      <c r="BO36" s="42"/>
      <c r="BP36" s="42"/>
    </row>
    <row r="37" spans="1:68" s="81" customFormat="1">
      <c r="A37" s="159"/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BN37" s="42"/>
      <c r="BO37" s="42"/>
      <c r="BP37" s="42"/>
    </row>
    <row r="38" spans="1:68" s="81" customFormat="1">
      <c r="A38" s="159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BN38" s="42"/>
      <c r="BO38" s="42"/>
      <c r="BP38" s="42"/>
    </row>
    <row r="39" spans="1:68" s="81" customFormat="1">
      <c r="A39" s="159" t="s">
        <v>185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N39" s="42"/>
      <c r="BO39" s="42"/>
      <c r="BP39" s="42"/>
    </row>
    <row r="40" spans="1:68" s="81" customFormat="1">
      <c r="A40" s="163">
        <f>PI()*C28</f>
        <v>1570796.3267948965</v>
      </c>
      <c r="B40" s="159" t="s">
        <v>186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N40" s="42"/>
      <c r="BO40" s="42"/>
      <c r="BP40" s="42"/>
    </row>
    <row r="41" spans="1:68" s="81" customFormat="1">
      <c r="A41" s="159">
        <f>-2/PI()</f>
        <v>-0.63661977236758138</v>
      </c>
      <c r="B41" s="159" t="s">
        <v>187</v>
      </c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N41" s="42"/>
      <c r="BO41" s="42"/>
      <c r="BP41" s="42"/>
    </row>
    <row r="42" spans="1:68" s="81" customFormat="1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N42" s="42"/>
      <c r="BO42" s="42"/>
      <c r="BP42" s="42"/>
    </row>
    <row r="43" spans="1:68" s="81" customFormat="1">
      <c r="A43" s="163">
        <f>1/(EA_DC*Sn*(1/C28))</f>
        <v>0.44043162299053079</v>
      </c>
      <c r="B43" s="159" t="s">
        <v>188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N43" s="42"/>
      <c r="BO43" s="42"/>
      <c r="BP43" s="42"/>
    </row>
    <row r="44" spans="1:68" s="81" customFormat="1">
      <c r="A44" s="159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N44" s="42"/>
      <c r="BO44" s="42"/>
      <c r="BP44" s="42"/>
    </row>
    <row r="45" spans="1:68" s="81" customFormat="1">
      <c r="A45" s="159"/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N45" s="42"/>
      <c r="BO45" s="42"/>
      <c r="BP45" s="42"/>
    </row>
    <row r="46" spans="1:68" s="81" customFormat="1">
      <c r="A46" s="159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N46" s="42"/>
      <c r="BO46" s="42"/>
      <c r="BP46" s="42"/>
    </row>
    <row r="47" spans="1:68" s="81" customFormat="1">
      <c r="A47" s="159"/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N47" s="42"/>
      <c r="BO47" s="42"/>
      <c r="BP47" s="42"/>
    </row>
    <row r="48" spans="1:68" s="81" customFormat="1">
      <c r="A48" s="159"/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N48" s="42"/>
      <c r="BO48" s="42"/>
      <c r="BP48" s="42"/>
    </row>
    <row r="49" spans="1:68" s="81" customFormat="1">
      <c r="A49" s="159"/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N49" s="42"/>
      <c r="BO49" s="42"/>
      <c r="BP49" s="42"/>
    </row>
    <row r="50" spans="1:68" s="81" customFormat="1">
      <c r="A50" s="159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N50" s="42"/>
      <c r="BO50" s="42"/>
      <c r="BP50" s="42"/>
    </row>
    <row r="51" spans="1:68" s="81" customFormat="1">
      <c r="A51" s="159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N51" s="42"/>
      <c r="BO51" s="42"/>
      <c r="BP51" s="42"/>
    </row>
    <row r="52" spans="1:68" s="81" customFormat="1">
      <c r="A52" s="159"/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N52" s="42"/>
      <c r="BO52" s="42"/>
      <c r="BP52" s="42"/>
    </row>
    <row r="53" spans="1:68" s="81" customFormat="1">
      <c r="A53" s="159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N53" s="42"/>
      <c r="BO53" s="42"/>
      <c r="BP53" s="42"/>
    </row>
    <row r="54" spans="1:68" s="81" customFormat="1">
      <c r="A54" s="159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N54" s="42"/>
      <c r="BO54" s="42"/>
      <c r="BP54" s="42"/>
    </row>
    <row r="55" spans="1:68" s="83" customFormat="1">
      <c r="A55" s="159"/>
      <c r="B55" s="159" t="s">
        <v>189</v>
      </c>
      <c r="C55" s="159">
        <v>100</v>
      </c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63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N55" s="42"/>
      <c r="BO55" s="42"/>
      <c r="BP55" s="42"/>
    </row>
    <row r="56" spans="1:68" s="83" customFormat="1">
      <c r="A56" s="159"/>
      <c r="B56" s="159" t="s">
        <v>190</v>
      </c>
      <c r="C56" s="159">
        <v>1000000</v>
      </c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N56" s="42"/>
      <c r="BO56" s="42"/>
      <c r="BP56" s="42"/>
    </row>
    <row r="57" spans="1:68" s="83" customFormat="1">
      <c r="A57" s="159"/>
      <c r="B57" s="159" t="s">
        <v>191</v>
      </c>
      <c r="C57" s="159">
        <v>200</v>
      </c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N57" s="42"/>
      <c r="BO57" s="42"/>
      <c r="BP57" s="42"/>
    </row>
    <row r="58" spans="1:68" s="83" customFormat="1">
      <c r="A58" s="159"/>
      <c r="B58" s="159" t="s">
        <v>192</v>
      </c>
      <c r="C58" s="159">
        <f>LOG(Fstop/Fstart)/Fstep</f>
        <v>0.02</v>
      </c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N58" s="42"/>
      <c r="BO58" s="42"/>
      <c r="BP58" s="42"/>
    </row>
    <row r="59" spans="1:68" s="83" customFormat="1">
      <c r="A59" s="159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N59" s="42"/>
      <c r="BO59" s="42"/>
      <c r="BP59" s="42"/>
    </row>
    <row r="60" spans="1:68" s="159" customFormat="1">
      <c r="F60" s="159" t="s">
        <v>193</v>
      </c>
      <c r="X60" s="164" t="s">
        <v>194</v>
      </c>
      <c r="AB60" s="164" t="s">
        <v>195</v>
      </c>
      <c r="AF60" s="164" t="s">
        <v>196</v>
      </c>
      <c r="AK60" s="159" t="s">
        <v>197</v>
      </c>
      <c r="AQ60" s="159" t="s">
        <v>198</v>
      </c>
      <c r="BN60" s="165"/>
      <c r="BO60" s="165"/>
      <c r="BP60" s="165"/>
    </row>
    <row r="61" spans="1:68" s="159" customFormat="1">
      <c r="J61" s="159" t="s">
        <v>199</v>
      </c>
      <c r="R61" s="159" t="s">
        <v>200</v>
      </c>
      <c r="X61" s="164" t="s">
        <v>201</v>
      </c>
      <c r="AB61" s="164" t="s">
        <v>202</v>
      </c>
      <c r="AF61" s="164" t="s">
        <v>203</v>
      </c>
      <c r="BN61" s="165"/>
      <c r="BO61" s="165"/>
      <c r="BP61" s="165"/>
    </row>
    <row r="62" spans="1:68" s="159" customFormat="1">
      <c r="A62" s="152"/>
      <c r="B62" s="152"/>
      <c r="C62" s="152"/>
      <c r="D62" s="152"/>
      <c r="E62" s="152"/>
      <c r="F62" s="152"/>
      <c r="G62" s="152"/>
      <c r="H62" s="152"/>
      <c r="AF62" s="164"/>
      <c r="AV62" s="180"/>
      <c r="AW62" s="180"/>
      <c r="AX62" s="152" t="s">
        <v>204</v>
      </c>
      <c r="AY62" s="152"/>
      <c r="AZ62" s="152" t="s">
        <v>205</v>
      </c>
      <c r="BD62" s="159" t="s">
        <v>206</v>
      </c>
      <c r="BH62" s="159" t="s">
        <v>207</v>
      </c>
      <c r="BN62" s="165"/>
      <c r="BO62" s="165"/>
      <c r="BP62" s="165"/>
    </row>
    <row r="63" spans="1:68" s="159" customFormat="1">
      <c r="A63" s="152" t="s">
        <v>192</v>
      </c>
      <c r="B63" s="152" t="s">
        <v>176</v>
      </c>
      <c r="C63" s="152" t="s">
        <v>208</v>
      </c>
      <c r="D63" s="152" t="s">
        <v>209</v>
      </c>
      <c r="E63" s="152" t="s">
        <v>210</v>
      </c>
      <c r="F63" s="152" t="s">
        <v>211</v>
      </c>
      <c r="G63" s="152" t="s">
        <v>212</v>
      </c>
      <c r="H63" s="152" t="s">
        <v>213</v>
      </c>
      <c r="J63" s="152" t="s">
        <v>214</v>
      </c>
      <c r="K63" s="152" t="s">
        <v>215</v>
      </c>
      <c r="N63" s="152" t="s">
        <v>216</v>
      </c>
      <c r="P63" s="166" t="s">
        <v>217</v>
      </c>
      <c r="R63" s="159" t="s">
        <v>214</v>
      </c>
      <c r="S63" s="159" t="s">
        <v>215</v>
      </c>
      <c r="T63" s="159" t="s">
        <v>218</v>
      </c>
      <c r="V63" s="166" t="s">
        <v>219</v>
      </c>
      <c r="X63" s="166" t="s">
        <v>220</v>
      </c>
      <c r="Y63" s="159" t="s">
        <v>214</v>
      </c>
      <c r="Z63" s="159" t="s">
        <v>221</v>
      </c>
      <c r="AB63" s="166" t="s">
        <v>222</v>
      </c>
      <c r="AC63" s="159" t="s">
        <v>214</v>
      </c>
      <c r="AD63" s="159" t="s">
        <v>221</v>
      </c>
      <c r="AF63" s="166" t="s">
        <v>223</v>
      </c>
      <c r="AG63" s="159" t="s">
        <v>224</v>
      </c>
      <c r="AH63" s="159" t="s">
        <v>225</v>
      </c>
      <c r="AJ63" s="159" t="s">
        <v>226</v>
      </c>
      <c r="AK63" s="159" t="s">
        <v>227</v>
      </c>
      <c r="AL63" s="167" t="s">
        <v>228</v>
      </c>
      <c r="AM63" s="167" t="s">
        <v>229</v>
      </c>
      <c r="AN63" s="167" t="s">
        <v>230</v>
      </c>
      <c r="AO63" s="159" t="s">
        <v>231</v>
      </c>
      <c r="AP63" s="166" t="s">
        <v>232</v>
      </c>
      <c r="AQ63" s="152" t="s">
        <v>233</v>
      </c>
      <c r="AR63" s="152"/>
      <c r="AS63" s="152"/>
      <c r="AT63" s="152" t="s">
        <v>234</v>
      </c>
      <c r="AU63" s="166" t="s">
        <v>235</v>
      </c>
      <c r="AV63" s="152"/>
      <c r="AW63" s="152" t="s">
        <v>236</v>
      </c>
      <c r="AX63" s="152" t="s">
        <v>237</v>
      </c>
      <c r="AY63" s="152" t="s">
        <v>221</v>
      </c>
      <c r="AZ63" s="152" t="s">
        <v>238</v>
      </c>
      <c r="BA63" s="152" t="s">
        <v>237</v>
      </c>
      <c r="BB63" s="152" t="s">
        <v>225</v>
      </c>
      <c r="BD63" s="152" t="s">
        <v>239</v>
      </c>
      <c r="BE63" s="152" t="s">
        <v>224</v>
      </c>
      <c r="BF63" s="152" t="s">
        <v>225</v>
      </c>
      <c r="BG63" s="152"/>
      <c r="BH63" s="152" t="s">
        <v>240</v>
      </c>
      <c r="BI63" s="168" t="s">
        <v>241</v>
      </c>
      <c r="BJ63" s="152"/>
      <c r="BK63" s="152"/>
      <c r="BN63" s="165"/>
      <c r="BO63" s="165"/>
      <c r="BP63" s="165"/>
    </row>
    <row r="64" spans="1:68" s="159" customFormat="1">
      <c r="A64" s="159">
        <v>0</v>
      </c>
      <c r="B64" s="159">
        <f>Fstart*10^(Step*A64)</f>
        <v>100</v>
      </c>
      <c r="C64" s="159" t="str">
        <f t="shared" ref="C64:C127" si="0">COMPLEX(0,2*PI()*B64,"j")</f>
        <v>628.318530717959j</v>
      </c>
      <c r="D64" s="159">
        <f t="shared" ref="D64:D127" si="1">(IMPRODUCT(C64,C64))/wn^2 + 1</f>
        <v>0.99999983999999997</v>
      </c>
      <c r="E64" s="159" t="str">
        <f t="shared" ref="E64:E127" si="2">IMDIV(C64,wn*Qn)</f>
        <v>-0.000628318530717959j</v>
      </c>
      <c r="F64" s="159" t="str">
        <f t="shared" ref="F64:F127" si="3">IMSUM(D64,E64)</f>
        <v>0.99999984-0.000628318530717959j</v>
      </c>
      <c r="G64" s="159">
        <f t="shared" ref="G64:G127" si="4">20*LOG(IMABS(F64),10)</f>
        <v>3.2478364858347952E-7</v>
      </c>
      <c r="H64" s="159">
        <f t="shared" ref="H64:H127" si="5">(IMARGUMENT(F64)*(180/PI()))</f>
        <v>-3.6000001022589684E-2</v>
      </c>
      <c r="J64" s="159">
        <f t="shared" ref="J64:J127" si="6">Vin/(Rout+DCR/1000)</f>
        <v>6.3936063936063938</v>
      </c>
      <c r="K64" s="159" t="str">
        <f t="shared" ref="K64:K127" si="7">IMSUM(1,IMPRODUCT(C64,ncap*(Cap*10^-6)*(Rout+(ESR/(ncap*1000)))))</f>
        <v>1+0.153960031174475j</v>
      </c>
      <c r="L64" s="159">
        <f t="shared" ref="L64:L127" si="8">(IMPRODUCT(C64,C64))/Gdo^2 + 1</f>
        <v>0.99976806567693866</v>
      </c>
      <c r="M64" s="159" t="str">
        <f t="shared" ref="M64:M127" si="9">IMDIV(C64,Q*Gdo)</f>
        <v>0.00168236523512903j</v>
      </c>
      <c r="N64" s="159" t="str">
        <f t="shared" ref="N64:N127" si="10">IMSUM(L64,M64)</f>
        <v>0.999768065676939+0.00168236523512903j</v>
      </c>
      <c r="O64" s="159" t="str">
        <f t="shared" ref="O64:O127" si="11">IMDIV(K64,N64)</f>
        <v>1.00048829227596+0.152312170873642j</v>
      </c>
      <c r="P64" s="159" t="str">
        <f t="shared" ref="P64:P127" si="12">IMPRODUCT(J64,O64)</f>
        <v>6.39672834222392+0.973824069521787j</v>
      </c>
      <c r="R64" s="159">
        <f t="shared" ref="R64:R127" si="13">Vin/(1+((DCR*10^-3)/Rout))</f>
        <v>31.968031968031973</v>
      </c>
      <c r="S64" s="159" t="str">
        <f t="shared" ref="S64:S127" si="14">IMSUM(1,IMPRODUCT(C64,ncap*(Cap*10^-6)*(ESR/(ncap*1000))))</f>
        <v>1+0.0000219911485751286j</v>
      </c>
      <c r="T64" s="159" t="str">
        <f t="shared" ref="T64:T127" si="15">IMSUM(L64,M64)</f>
        <v>0.999768065676939+0.00168236523512903j</v>
      </c>
      <c r="U64" s="159" t="str">
        <f t="shared" ref="U64:U127" si="16">IMDIV(S64,T64)</f>
        <v>1.00022919282823-0.00166114494912954j</v>
      </c>
      <c r="V64" s="159" t="str">
        <f t="shared" ref="V64:V127" si="17">IMPRODUCT(R64,U64)</f>
        <v>31.9753588116917-0.053103534837308j</v>
      </c>
      <c r="X64" s="159" t="str">
        <f t="shared" ref="X64:X127" si="18">IMPRODUCT(Fm,Dmax,P64,F64)</f>
        <v>0.250765552940135+0.0380148077680391j</v>
      </c>
      <c r="Y64" s="159">
        <f t="shared" ref="Y64:Y127" si="19">20*LOG(IMABS(X64),10)</f>
        <v>-11.915966552744056</v>
      </c>
      <c r="Z64" s="159">
        <f t="shared" ref="Z64:Z127" si="20">IF((IMARGUMENT(X64)*(180/PI()))&lt;0,(IMARGUMENT(X64)*(180/PI()))+180,(IMARGUMENT(X64)*(180/PI()))-180)</f>
        <v>-171.37987871563962</v>
      </c>
      <c r="AB64" s="159" t="str">
        <f t="shared" ref="AB64:AB127" si="21">IMPRODUCT(Fm,V64)</f>
        <v>14.0829591771379-0.0233884760349298j</v>
      </c>
      <c r="AC64" s="159">
        <f t="shared" ref="AC64:AC127" si="22">20*LOG(IMABS(AB64),10)</f>
        <v>22.973890386011711</v>
      </c>
      <c r="AD64" s="159">
        <f t="shared" ref="AD64:AD127" si="23">IF((IMARGUMENT(AB64)*(180/PI()))&lt;0,(IMARGUMENT(AB64)*(180/PI()))+180,(IMARGUMENT(AB64)*(180/PI()))-180)</f>
        <v>179.90484530153313</v>
      </c>
      <c r="AF64" s="159" t="str">
        <f t="shared" ref="AF64:AF127" si="24">IMDIV(AB64,IMSUM(1,X64))</f>
        <v>11.2485124342853-0.360577977895648j</v>
      </c>
      <c r="AG64" s="159">
        <f t="shared" ref="AG64:AG127" si="25">20*LOG(IMABS(AF64),10)</f>
        <v>21.026362210268825</v>
      </c>
      <c r="AH64" s="159">
        <f t="shared" ref="AH64:AH127" si="26">IF((IMARGUMENT(AF64)*(180/PI()))&lt;0,(IMARGUMENT(AF64)*(180/PI()))+180,(IMARGUMENT(AF64)*(180/PI()))-180)</f>
        <v>178.16397728522077</v>
      </c>
      <c r="AJ64" s="159" t="str">
        <f t="shared" ref="AJ64:AJ127" si="27">IMDIV(_Rfb1,IMSUM(1,IMPRODUCT(C64,_Cfb1*_Rfb1)))</f>
        <v>157497.654020805-607.853781370905j</v>
      </c>
      <c r="AK64" s="159" t="str">
        <f t="shared" ref="AK64:AK127" si="28">IMDIV(_Rfb2,IMSUM(1,IMPRODUCT(C64,_Cfb2*_Rfb2)))</f>
        <v>30000-5.65486677646164E-07j</v>
      </c>
      <c r="AL64" s="159" t="str">
        <f>IMDIV(IMSUM(1,IMPRODUCT(C64,10000,0.000000000045)),IMPRODUCT(C64,0.000000000045))</f>
        <v>10000-35367765.1315322j</v>
      </c>
      <c r="AM64" s="159" t="str">
        <f>IMDIV(AL64,IMSUM(1,IMPRODUCT(C64,AL64,0.0000000001)))</f>
        <v>963.13908347349-10976203.1596625j</v>
      </c>
      <c r="AN64" s="159" t="str">
        <f>IMSUM(10000,AM64)</f>
        <v>10963.1390834735-10976203.1596625j</v>
      </c>
      <c r="AO64" s="159" t="str">
        <f>IMDIV(IMPRODUCT(AN64,AK64),IMSUM(AN64,AK64))</f>
        <v>29999.693997185-81.9944254201151j</v>
      </c>
      <c r="AP64" s="159" t="str">
        <f>IMDIV(AK64,IMSUM(AJ64,AK64))</f>
        <v>0.160000320309015+0.000518709419343405j</v>
      </c>
      <c r="AQ64" s="159" t="str">
        <f t="shared" ref="AQ64:AQ127" si="29">IMSUM(1,IMPRODUCT(C64,_res1*_Cap1))</f>
        <v>1+0.0627690212187241j</v>
      </c>
      <c r="AR64" s="159">
        <f t="shared" ref="AR64:AR95" si="30">(IMPRODUCT(C64,C64))*_res1*_Cap1*_cap2 + (1/Roerr)</f>
        <v>9.9408415912198695E-8</v>
      </c>
      <c r="AS64" s="159" t="str">
        <f t="shared" ref="AS64:AS127" si="31">IMPRODUCT(C64,(_Cap1+_cap2+(_Cap1*_res1/Roerr)))</f>
        <v>1.71216171302113E-06j</v>
      </c>
      <c r="AT64" s="159" t="str">
        <f t="shared" ref="AT64:AT127" si="32">IMSUM(AR64,AS64)</f>
        <v>9.94084159121987E-08+1.71216171302113E-06j</v>
      </c>
      <c r="AU64" s="159" t="str">
        <f t="shared" ref="AU64:AU127" si="33">IMPRODUCT(EA_BW,IMDIV(AQ64,AT64))</f>
        <v>10.5501064478428-86.9960059832716j</v>
      </c>
      <c r="AW64" s="159" t="str">
        <f>IMDIV(IMPRODUCT(AP64,AU64),IMPRODUCT(IMSUM(1,IMPRODUCT(C64,1/1500000)),IMSUM(1,IMPRODUCT(C64,1/35000000))))</f>
        <v>1.72706771236935-13.9146709246518j</v>
      </c>
      <c r="AX64" s="159">
        <f t="shared" ref="AX64:AX127" si="34">20*LOG(IMABS(AW64),10)</f>
        <v>22.935853465959276</v>
      </c>
      <c r="AY64" s="159">
        <f t="shared" ref="AY64:AY127" si="35">IF((IMARGUMENT(AW64)*(180/PI()))&lt;0,(IMARGUMENT(AW64)*(180/PI()))+180,(IMARGUMENT(AW64)*(180/PI()))-180)</f>
        <v>97.075280251218885</v>
      </c>
      <c r="AZ64" s="159" t="str">
        <f t="shared" ref="AZ64:AZ127" si="36">IMPRODUCT(AW64,Fm,V64)</f>
        <v>23.9967811419954-196.000136076981j</v>
      </c>
      <c r="BA64" s="159">
        <f t="shared" ref="BA64:BA127" si="37">20*LOG(IMABS(AZ64),10)</f>
        <v>45.909743851971008</v>
      </c>
      <c r="BB64" s="159">
        <f t="shared" ref="BB64:BB127" si="38">IF((IMARGUMENT(AZ64)*(180/PI()))&lt;0,(IMARGUMENT(AZ64)*(180/PI()))+180,(IMARGUMENT(AZ64)*(180/PI()))-180)</f>
        <v>96.980125552752</v>
      </c>
      <c r="BD64" s="159" t="str">
        <f t="shared" ref="BD64:BD127" si="39">IMDIV(AZ64,IMSUM(1,X64))</f>
        <v>14.4096187323451-157.14209149835j</v>
      </c>
      <c r="BE64" s="159">
        <f t="shared" ref="BE64:BE127" si="40">20*LOG(IMABS(BD64),10)</f>
        <v>43.962215676228162</v>
      </c>
      <c r="BF64" s="159">
        <f t="shared" ref="BF64:BF127" si="41">IF((IMARGUMENT(BD64)*(180/PI()))&lt;0,(IMARGUMENT(BD64)*(180/PI()))+180,(IMARGUMENT(BD64)*(180/PI()))-180)</f>
        <v>95.239257536439666</v>
      </c>
      <c r="BH64" s="159">
        <f>1-BE64</f>
        <v>-42.962215676228162</v>
      </c>
      <c r="BI64" s="169">
        <f>+-1*BF64</f>
        <v>-95.239257536439666</v>
      </c>
      <c r="BN64" s="165"/>
      <c r="BO64" s="165"/>
      <c r="BP64" s="165"/>
    </row>
    <row r="65" spans="1:68" s="159" customFormat="1">
      <c r="A65" s="159">
        <v>1</v>
      </c>
      <c r="B65" s="159">
        <f t="shared" ref="B65:B127" si="42">Fstart*10^(Step*A65)</f>
        <v>104.71285480508996</v>
      </c>
      <c r="C65" s="159" t="str">
        <f t="shared" si="0"/>
        <v>657.930270784171j</v>
      </c>
      <c r="D65" s="159">
        <f t="shared" si="1"/>
        <v>0.99999982456348857</v>
      </c>
      <c r="E65" s="159" t="str">
        <f t="shared" si="2"/>
        <v>-0.000657930270784171j</v>
      </c>
      <c r="F65" s="159" t="str">
        <f t="shared" si="3"/>
        <v>0.999999824563489-0.000657930270784171j</v>
      </c>
      <c r="G65" s="159">
        <f t="shared" si="4"/>
        <v>3.5611820318330749E-7</v>
      </c>
      <c r="H65" s="159">
        <f t="shared" si="5"/>
        <v>-3.7696628903922384E-2</v>
      </c>
      <c r="J65" s="159">
        <f t="shared" si="6"/>
        <v>6.3936063936063938</v>
      </c>
      <c r="K65" s="159" t="str">
        <f t="shared" si="7"/>
        <v>1+0.161215943901599j</v>
      </c>
      <c r="L65" s="159">
        <f t="shared" si="8"/>
        <v>0.99974568907182604</v>
      </c>
      <c r="M65" s="159" t="str">
        <f t="shared" si="9"/>
        <v>0.00176165266595197j</v>
      </c>
      <c r="N65" s="159" t="str">
        <f t="shared" si="10"/>
        <v>0.999745689071826+0.00176165266595197j</v>
      </c>
      <c r="O65" s="159" t="str">
        <f t="shared" si="11"/>
        <v>1.00053541996141+0.159493909055695j</v>
      </c>
      <c r="P65" s="159" t="str">
        <f t="shared" si="12"/>
        <v>6.39702965809493+1.01974127667977j</v>
      </c>
      <c r="R65" s="159">
        <f t="shared" si="13"/>
        <v>31.968031968031973</v>
      </c>
      <c r="S65" s="159" t="str">
        <f t="shared" si="14"/>
        <v>1+0.000023027559477446j</v>
      </c>
      <c r="T65" s="159" t="str">
        <f t="shared" si="15"/>
        <v>0.999745689071826+0.00176165266595197j</v>
      </c>
      <c r="U65" s="159" t="str">
        <f t="shared" si="16"/>
        <v>1.00025131042637-0.00173951020461183j</v>
      </c>
      <c r="V65" s="159" t="str">
        <f t="shared" si="17"/>
        <v>31.9760658677761-0.0556087178297488j</v>
      </c>
      <c r="X65" s="159" t="str">
        <f t="shared" si="18"/>
        <v>0.25077967471853+0.0398072559131923j</v>
      </c>
      <c r="Y65" s="159">
        <f t="shared" si="19"/>
        <v>-11.906082256713034</v>
      </c>
      <c r="Z65" s="159">
        <f t="shared" si="20"/>
        <v>-170.98046399749515</v>
      </c>
      <c r="AB65" s="159" t="str">
        <f t="shared" si="21"/>
        <v>14.0832705869967-0.0244918378461787j</v>
      </c>
      <c r="AC65" s="159">
        <f t="shared" si="22"/>
        <v>22.974083607135064</v>
      </c>
      <c r="AD65" s="159">
        <f t="shared" si="23"/>
        <v>179.90035854826775</v>
      </c>
      <c r="AF65" s="159" t="str">
        <f t="shared" si="24"/>
        <v>11.2475776473594-0.377546141181408j</v>
      </c>
      <c r="AG65" s="159">
        <f t="shared" si="25"/>
        <v>21.026070596243049</v>
      </c>
      <c r="AH65" s="159">
        <f t="shared" si="26"/>
        <v>178.07748101980519</v>
      </c>
      <c r="AJ65" s="159" t="str">
        <f t="shared" si="27"/>
        <v>157497.427688661-636.500132829766j</v>
      </c>
      <c r="AK65" s="159" t="str">
        <f t="shared" si="28"/>
        <v>30000-5.92137243705753E-07j</v>
      </c>
      <c r="AL65" s="159" t="str">
        <f t="shared" ref="AL65:AL128" si="43">IMDIV(IMSUM(1,IMPRODUCT(C65,10000,0.000000000045)),IMPRODUCT(C65,0.000000000045))</f>
        <v>10000-33775953.4847608j</v>
      </c>
      <c r="AM65" s="159" t="str">
        <f t="shared" ref="AM65:AM128" si="44">IMDIV(AL65,IMSUM(1,IMPRODUCT(C65,AL65,0.0000000001)))</f>
        <v>963.139079940295-10482192.6574466j</v>
      </c>
      <c r="AN65" s="159" t="str">
        <f t="shared" ref="AN65:AN128" si="45">IMSUM(10000,AM65)</f>
        <v>10963.1390799403-10482192.6574466j</v>
      </c>
      <c r="AO65" s="159" t="str">
        <f t="shared" ref="AO65:AO128" si="46">IMDIV(IMPRODUCT(AN65,AK65),IMSUM(AN65,AK65))</f>
        <v>29999.6644750375-85.8585881277221j</v>
      </c>
      <c r="AP65" s="159" t="str">
        <f t="shared" ref="AP65:AP128" si="47">IMDIV(AK65,IMSUM(AJ65,AK65))</f>
        <v>0.160000351211838+0.000543155421155188j</v>
      </c>
      <c r="AQ65" s="159" t="str">
        <f t="shared" si="29"/>
        <v>1+0.0657272340513387j</v>
      </c>
      <c r="AR65" s="159">
        <f t="shared" si="30"/>
        <v>9.9351340946540621E-8</v>
      </c>
      <c r="AS65" s="159" t="str">
        <f t="shared" si="31"/>
        <v>1.79285340858416E-06j</v>
      </c>
      <c r="AT65" s="159" t="str">
        <f t="shared" si="32"/>
        <v>9.93513409465406E-08+1.79285340858416E-06j</v>
      </c>
      <c r="AU65" s="159" t="str">
        <f t="shared" si="33"/>
        <v>10.1044152873978-83.1055746545283j</v>
      </c>
      <c r="AW65" s="159" t="str">
        <f t="shared" ref="AW65:AW128" si="48">IMDIV(IMPRODUCT(AP65,AU65),IMPRODUCT(IMSUM(1,IMPRODUCT(C65,1/1500000)),IMSUM(1,IMPRODUCT(C65,1/35000000))))</f>
        <v>1.65576916219861-13.2921903529721j</v>
      </c>
      <c r="AX65" s="159">
        <f t="shared" si="34"/>
        <v>22.538802824405167</v>
      </c>
      <c r="AY65" s="159">
        <f t="shared" si="35"/>
        <v>97.100591416886303</v>
      </c>
      <c r="AZ65" s="159" t="str">
        <f t="shared" si="36"/>
        <v>22.9930949701024-187.238066264605j</v>
      </c>
      <c r="BA65" s="159">
        <f t="shared" si="37"/>
        <v>45.512886431540252</v>
      </c>
      <c r="BB65" s="159">
        <f t="shared" si="38"/>
        <v>97.000949965154064</v>
      </c>
      <c r="BD65" s="159" t="str">
        <f t="shared" si="39"/>
        <v>13.6049770423189-150.130072356411j</v>
      </c>
      <c r="BE65" s="159">
        <f t="shared" si="40"/>
        <v>43.564873420648247</v>
      </c>
      <c r="BF65" s="159">
        <f t="shared" si="41"/>
        <v>95.178072436691551</v>
      </c>
      <c r="BH65" s="159">
        <f t="shared" ref="BH65:BH128" si="49">1-BE65</f>
        <v>-42.564873420648247</v>
      </c>
      <c r="BI65" s="169">
        <f t="shared" ref="BI65:BI128" si="50">+-1*BF65</f>
        <v>-95.178072436691551</v>
      </c>
      <c r="BN65" s="165"/>
      <c r="BO65" s="165"/>
      <c r="BP65" s="165"/>
    </row>
    <row r="66" spans="1:68" s="159" customFormat="1">
      <c r="A66" s="159">
        <v>2</v>
      </c>
      <c r="B66" s="159">
        <f t="shared" si="42"/>
        <v>109.64781961431851</v>
      </c>
      <c r="C66" s="159" t="str">
        <f t="shared" si="0"/>
        <v>688.937569164964j</v>
      </c>
      <c r="D66" s="159">
        <f t="shared" si="1"/>
        <v>0.99999980763769047</v>
      </c>
      <c r="E66" s="159" t="str">
        <f t="shared" si="2"/>
        <v>-0.000688937569164964j</v>
      </c>
      <c r="F66" s="159" t="str">
        <f t="shared" si="3"/>
        <v>0.99999980763769-0.000688937569164964j</v>
      </c>
      <c r="G66" s="159">
        <f t="shared" si="4"/>
        <v>3.9047585085347486E-7</v>
      </c>
      <c r="H66" s="159">
        <f t="shared" si="5"/>
        <v>-3.947321640919034E-2</v>
      </c>
      <c r="J66" s="159">
        <f t="shared" si="6"/>
        <v>6.3936063936063938</v>
      </c>
      <c r="K66" s="159" t="str">
        <f t="shared" si="7"/>
        <v>1+0.168813817260337j</v>
      </c>
      <c r="L66" s="159">
        <f t="shared" si="8"/>
        <v>0.99972115361221625</v>
      </c>
      <c r="M66" s="159" t="str">
        <f t="shared" si="9"/>
        <v>0.00184467679826828j</v>
      </c>
      <c r="N66" s="159" t="str">
        <f t="shared" si="10"/>
        <v>0.999721153612216+0.00184467679826828j</v>
      </c>
      <c r="O66" s="159" t="str">
        <f t="shared" si="11"/>
        <v>1.00058709810884+0.16701462888178j</v>
      </c>
      <c r="P66" s="159" t="str">
        <f t="shared" si="12"/>
        <v>6.39736006782875+1.06782579904435j</v>
      </c>
      <c r="R66" s="159">
        <f t="shared" si="13"/>
        <v>31.968031968031973</v>
      </c>
      <c r="S66" s="159" t="str">
        <f t="shared" si="14"/>
        <v>1+0.0000241128149207737j</v>
      </c>
      <c r="T66" s="159" t="str">
        <f t="shared" si="15"/>
        <v>0.999721153612216+0.00184467679826828j</v>
      </c>
      <c r="U66" s="159" t="str">
        <f t="shared" si="16"/>
        <v>1.00027556300071-0.0018215802490939j</v>
      </c>
      <c r="V66" s="159" t="str">
        <f t="shared" si="17"/>
        <v>31.9768411748479-0.0582323356353694j</v>
      </c>
      <c r="X66" s="159" t="str">
        <f t="shared" si="18"/>
        <v>0.250795159975776+0.0416843078012434j</v>
      </c>
      <c r="Y66" s="159">
        <f t="shared" si="19"/>
        <v>-11.89526913306687</v>
      </c>
      <c r="Z66" s="159">
        <f t="shared" si="20"/>
        <v>-170.56321667015447</v>
      </c>
      <c r="AB66" s="159" t="str">
        <f t="shared" si="21"/>
        <v>14.0836120567487-0.0256473620944151j</v>
      </c>
      <c r="AC66" s="159">
        <f t="shared" si="22"/>
        <v>22.974295474763458</v>
      </c>
      <c r="AD66" s="159">
        <f t="shared" si="23"/>
        <v>179.89566000729752</v>
      </c>
      <c r="AF66" s="159" t="str">
        <f t="shared" si="24"/>
        <v>11.2465528115913-0.395310237053763j</v>
      </c>
      <c r="AG66" s="159">
        <f t="shared" si="25"/>
        <v>21.025750867794116</v>
      </c>
      <c r="AH66" s="159">
        <f t="shared" si="26"/>
        <v>177.98691317034209</v>
      </c>
      <c r="AJ66" s="159" t="str">
        <f t="shared" si="27"/>
        <v>157497.179521147-666.496409729197j</v>
      </c>
      <c r="AK66" s="159" t="str">
        <f t="shared" si="28"/>
        <v>30000-6.20043812248467E-07j</v>
      </c>
      <c r="AL66" s="159" t="str">
        <f t="shared" si="43"/>
        <v>10000-32255785.1637514j</v>
      </c>
      <c r="AM66" s="159" t="str">
        <f t="shared" si="44"/>
        <v>963.139076066234-10010416.2912292j</v>
      </c>
      <c r="AN66" s="159" t="str">
        <f t="shared" si="45"/>
        <v>10963.1390760662-10010416.2912292j</v>
      </c>
      <c r="AO66" s="159" t="str">
        <f t="shared" si="46"/>
        <v>29999.6321047379-89.9048461002159j</v>
      </c>
      <c r="AP66" s="159" t="str">
        <f t="shared" si="47"/>
        <v>0.160000385096107+0.000568753524577582j</v>
      </c>
      <c r="AQ66" s="159" t="str">
        <f t="shared" si="29"/>
        <v>1+0.0688248631595799j</v>
      </c>
      <c r="AR66" s="159">
        <f t="shared" si="30"/>
        <v>9.9288759491150912E-8</v>
      </c>
      <c r="AS66" s="159" t="str">
        <f t="shared" si="31"/>
        <v>1.87734798659884E-06j</v>
      </c>
      <c r="AT66" s="159" t="str">
        <f t="shared" si="32"/>
        <v>9.92887594911509E-08+1.87734798659884E-06j</v>
      </c>
      <c r="AU66" s="159" t="str">
        <f t="shared" si="33"/>
        <v>9.69770748438103-79.387054354252j</v>
      </c>
      <c r="AW66" s="159" t="str">
        <f t="shared" si="48"/>
        <v>1.59070696113855-12.697205687695j</v>
      </c>
      <c r="AX66" s="159">
        <f t="shared" si="34"/>
        <v>22.141796667274779</v>
      </c>
      <c r="AY66" s="159">
        <f t="shared" si="35"/>
        <v>97.140816397345901</v>
      </c>
      <c r="AZ66" s="159" t="str">
        <f t="shared" si="36"/>
        <v>22.0772499047854-178.863316547658j</v>
      </c>
      <c r="BA66" s="159">
        <f t="shared" si="37"/>
        <v>45.116092142038241</v>
      </c>
      <c r="BB66" s="159">
        <f t="shared" si="38"/>
        <v>97.036476404643423</v>
      </c>
      <c r="BD66" s="159" t="str">
        <f t="shared" si="39"/>
        <v>12.8706344558875-143.42861707219j</v>
      </c>
      <c r="BE66" s="159">
        <f t="shared" si="40"/>
        <v>43.167547535068891</v>
      </c>
      <c r="BF66" s="159">
        <f t="shared" si="41"/>
        <v>95.127729567687993</v>
      </c>
      <c r="BH66" s="159">
        <f t="shared" si="49"/>
        <v>-42.167547535068891</v>
      </c>
      <c r="BI66" s="169">
        <f t="shared" si="50"/>
        <v>-95.127729567687993</v>
      </c>
      <c r="BN66" s="165"/>
      <c r="BO66" s="165"/>
      <c r="BP66" s="165"/>
    </row>
    <row r="67" spans="1:68" s="159" customFormat="1">
      <c r="A67" s="159">
        <v>3</v>
      </c>
      <c r="B67" s="159">
        <f t="shared" si="42"/>
        <v>114.81536214968828</v>
      </c>
      <c r="C67" s="159" t="str">
        <f t="shared" si="0"/>
        <v>721.406196497425j</v>
      </c>
      <c r="D67" s="159">
        <f t="shared" si="1"/>
        <v>0.99999978907892184</v>
      </c>
      <c r="E67" s="159" t="str">
        <f t="shared" si="2"/>
        <v>-0.000721406196497425j</v>
      </c>
      <c r="F67" s="159" t="str">
        <f t="shared" si="3"/>
        <v>0.999999789078922-0.000721406196497425j</v>
      </c>
      <c r="G67" s="159">
        <f t="shared" si="4"/>
        <v>4.2814827552985264E-7</v>
      </c>
      <c r="H67" s="159">
        <f t="shared" si="5"/>
        <v>-4.1333531921639757E-2</v>
      </c>
      <c r="J67" s="159">
        <f t="shared" si="6"/>
        <v>6.3936063936063938</v>
      </c>
      <c r="K67" s="159" t="str">
        <f t="shared" si="7"/>
        <v>1+0.176769767358747j</v>
      </c>
      <c r="L67" s="159">
        <f t="shared" si="8"/>
        <v>0.99969425101572185</v>
      </c>
      <c r="M67" s="159" t="str">
        <f t="shared" si="9"/>
        <v>0.00193161373739385j</v>
      </c>
      <c r="N67" s="159" t="str">
        <f t="shared" si="10"/>
        <v>0.999694251015722+0.00193161373739385j</v>
      </c>
      <c r="O67" s="159" t="str">
        <f t="shared" si="11"/>
        <v>1.00064376648093+0.174890382670036j</v>
      </c>
      <c r="P67" s="159" t="str">
        <f t="shared" si="12"/>
        <v>6.39772238309486+1.11818026881941j</v>
      </c>
      <c r="R67" s="159">
        <f t="shared" si="13"/>
        <v>31.968031968031973</v>
      </c>
      <c r="S67" s="159" t="str">
        <f t="shared" si="14"/>
        <v>1+0.0000252492168774099j</v>
      </c>
      <c r="T67" s="159" t="str">
        <f t="shared" si="15"/>
        <v>0.999694251015722+0.00193161373739385j</v>
      </c>
      <c r="U67" s="159" t="str">
        <f t="shared" si="16"/>
        <v>1.00030215675455-0.00190753139644131j</v>
      </c>
      <c r="V67" s="159" t="str">
        <f t="shared" si="17"/>
        <v>31.9776913248208-0.0609800246614605j</v>
      </c>
      <c r="X67" s="159" t="str">
        <f t="shared" si="18"/>
        <v>0.250812140467343+0.0436499696981669j</v>
      </c>
      <c r="Y67" s="159">
        <f t="shared" si="19"/>
        <v>-11.883442439047808</v>
      </c>
      <c r="Z67" s="159">
        <f t="shared" si="20"/>
        <v>-170.1274376090048</v>
      </c>
      <c r="AB67" s="159" t="str">
        <f t="shared" si="21"/>
        <v>14.083986489681-0.0268575312316496j</v>
      </c>
      <c r="AC67" s="159">
        <f t="shared" si="22"/>
        <v>22.974527788865164</v>
      </c>
      <c r="AD67" s="159">
        <f t="shared" si="23"/>
        <v>179.89073964792945</v>
      </c>
      <c r="AF67" s="159" t="str">
        <f t="shared" si="24"/>
        <v>11.245429267051-0.413907221741444j</v>
      </c>
      <c r="AG67" s="159">
        <f t="shared" si="25"/>
        <v>21.025400316529264</v>
      </c>
      <c r="AH67" s="159">
        <f t="shared" si="26"/>
        <v>177.89208256815508</v>
      </c>
      <c r="AJ67" s="159" t="str">
        <f t="shared" si="27"/>
        <v>157496.907411779-697.906212019615j</v>
      </c>
      <c r="AK67" s="159" t="str">
        <f t="shared" si="28"/>
        <v>30000-6.49265576847684E-07j</v>
      </c>
      <c r="AL67" s="159" t="str">
        <f t="shared" si="43"/>
        <v>10000-30804035.6876829j</v>
      </c>
      <c r="AM67" s="159" t="str">
        <f t="shared" si="44"/>
        <v>963.139071818403-9559873.36008538j</v>
      </c>
      <c r="AN67" s="159" t="str">
        <f t="shared" si="45"/>
        <v>10963.1390718184-9559873.36008538j</v>
      </c>
      <c r="AO67" s="159" t="str">
        <f t="shared" si="46"/>
        <v>29999.5966115199-94.1417786877867j</v>
      </c>
      <c r="AP67" s="159" t="str">
        <f t="shared" si="47"/>
        <v>0.160000422249466+0.000595558026048091j</v>
      </c>
      <c r="AQ67" s="159" t="str">
        <f t="shared" si="29"/>
        <v>1+0.0720684790300928j</v>
      </c>
      <c r="AR67" s="159">
        <f t="shared" si="30"/>
        <v>9.9220140289833197E-8</v>
      </c>
      <c r="AS67" s="159" t="str">
        <f t="shared" si="31"/>
        <v>1.96582467139352E-06j</v>
      </c>
      <c r="AT67" s="159" t="str">
        <f t="shared" si="32"/>
        <v>9.92201402898332E-08+1.96582467139352E-06j</v>
      </c>
      <c r="AU67" s="159" t="str">
        <f t="shared" si="33"/>
        <v>9.32659190129098-75.8331179847555j</v>
      </c>
      <c r="AW67" s="159" t="str">
        <f t="shared" si="48"/>
        <v>1.53133861936071-12.1285445330813j</v>
      </c>
      <c r="AX67" s="159">
        <f t="shared" si="34"/>
        <v>21.744860112981364</v>
      </c>
      <c r="AY67" s="159">
        <f t="shared" si="35"/>
        <v>97.196034245210413</v>
      </c>
      <c r="AZ67" s="159" t="str">
        <f t="shared" si="36"/>
        <v>21.2416096626114-170.859385318208j</v>
      </c>
      <c r="BA67" s="159">
        <f t="shared" si="37"/>
        <v>44.719387901846581</v>
      </c>
      <c r="BB67" s="159">
        <f t="shared" si="38"/>
        <v>97.086773893139849</v>
      </c>
      <c r="BD67" s="159" t="str">
        <f t="shared" si="39"/>
        <v>12.2004679564694-137.02452177253j</v>
      </c>
      <c r="BE67" s="159">
        <f t="shared" si="40"/>
        <v>42.770260429510707</v>
      </c>
      <c r="BF67" s="159">
        <f t="shared" si="41"/>
        <v>95.08811681336546</v>
      </c>
      <c r="BH67" s="159">
        <f t="shared" si="49"/>
        <v>-41.770260429510707</v>
      </c>
      <c r="BI67" s="169">
        <f t="shared" si="50"/>
        <v>-95.08811681336546</v>
      </c>
      <c r="BN67" s="165"/>
      <c r="BO67" s="165"/>
      <c r="BP67" s="165"/>
    </row>
    <row r="68" spans="1:68" s="159" customFormat="1">
      <c r="A68" s="159">
        <v>4</v>
      </c>
      <c r="B68" s="159">
        <f t="shared" si="42"/>
        <v>120.2264434617413</v>
      </c>
      <c r="C68" s="159" t="str">
        <f t="shared" si="0"/>
        <v>755.40502309327j</v>
      </c>
      <c r="D68" s="159">
        <f t="shared" si="1"/>
        <v>0.9999997687296367</v>
      </c>
      <c r="E68" s="159" t="str">
        <f t="shared" si="2"/>
        <v>-0.00075540502309327j</v>
      </c>
      <c r="F68" s="159" t="str">
        <f t="shared" si="3"/>
        <v>0.999999768729637-0.00075540502309327j</v>
      </c>
      <c r="G68" s="159">
        <f t="shared" si="4"/>
        <v>4.6945526935514542E-7</v>
      </c>
      <c r="H68" s="159">
        <f t="shared" si="5"/>
        <v>-4.3281521423283821E-2</v>
      </c>
      <c r="J68" s="159">
        <f t="shared" si="6"/>
        <v>6.3936063936063938</v>
      </c>
      <c r="K68" s="159" t="str">
        <f t="shared" si="7"/>
        <v>1+0.185100669833659j</v>
      </c>
      <c r="L68" s="159">
        <f t="shared" si="8"/>
        <v>0.99966475290524615</v>
      </c>
      <c r="M68" s="159" t="str">
        <f t="shared" si="9"/>
        <v>0.00202264788823239j</v>
      </c>
      <c r="N68" s="159" t="str">
        <f t="shared" si="10"/>
        <v>0.999664752905246+0.00202264788823239j</v>
      </c>
      <c r="O68" s="159" t="str">
        <f t="shared" si="11"/>
        <v>1.00070590741815+0.183137990622573j</v>
      </c>
      <c r="P68" s="159" t="str">
        <f t="shared" si="12"/>
        <v>6.39811968778837+1.17091222775671j</v>
      </c>
      <c r="R68" s="159">
        <f t="shared" si="13"/>
        <v>31.968031968031973</v>
      </c>
      <c r="S68" s="159" t="str">
        <f t="shared" si="14"/>
        <v>1+0.0000264391758082644j</v>
      </c>
      <c r="T68" s="159" t="str">
        <f t="shared" si="15"/>
        <v>0.999664752905246+0.00202264788823239j</v>
      </c>
      <c r="U68" s="159" t="str">
        <f t="shared" si="16"/>
        <v>1.00033131783079-0.00199754852407423j</v>
      </c>
      <c r="V68" s="159" t="str">
        <f t="shared" si="17"/>
        <v>31.9786235470382-0.0638576950753001j</v>
      </c>
      <c r="X68" s="159" t="str">
        <f t="shared" si="18"/>
        <v>0.250830760702643+0.0457084394994903j</v>
      </c>
      <c r="Y68" s="159">
        <f t="shared" si="19"/>
        <v>-11.870510196008254</v>
      </c>
      <c r="Z68" s="159">
        <f t="shared" si="20"/>
        <v>-169.67241429052467</v>
      </c>
      <c r="AB68" s="159" t="str">
        <f t="shared" si="21"/>
        <v>14.0843970698252-0.0281249482824488j</v>
      </c>
      <c r="AC68" s="159">
        <f t="shared" si="22"/>
        <v>22.974782523266146</v>
      </c>
      <c r="AD68" s="159">
        <f t="shared" si="23"/>
        <v>179.8855869594048</v>
      </c>
      <c r="AF68" s="159" t="str">
        <f t="shared" si="24"/>
        <v>11.2441975239305-0.433375711211993j</v>
      </c>
      <c r="AG68" s="159">
        <f t="shared" si="25"/>
        <v>21.025015973570511</v>
      </c>
      <c r="AH68" s="159">
        <f t="shared" si="26"/>
        <v>177.79278914141571</v>
      </c>
      <c r="AJ68" s="159" t="str">
        <f t="shared" si="27"/>
        <v>157496.609050869-730.796134050701j</v>
      </c>
      <c r="AK68" s="159" t="str">
        <f t="shared" si="28"/>
        <v>30000-6.79864520783943E-07j</v>
      </c>
      <c r="AL68" s="159" t="str">
        <f t="shared" si="43"/>
        <v>10000-29417625.7012769j</v>
      </c>
      <c r="AM68" s="159" t="str">
        <f t="shared" si="44"/>
        <v>963.13906716075-9129608.20205286j</v>
      </c>
      <c r="AN68" s="159" t="str">
        <f t="shared" si="45"/>
        <v>10963.1390671607-9129608.20205286j</v>
      </c>
      <c r="AO68" s="159" t="str">
        <f t="shared" si="46"/>
        <v>29999.5576941124-98.5783691973635j</v>
      </c>
      <c r="AP68" s="159" t="str">
        <f t="shared" si="47"/>
        <v>0.160000462987311+0.000623625780851535j</v>
      </c>
      <c r="AQ68" s="159" t="str">
        <f t="shared" si="29"/>
        <v>1+0.0754649618070177j</v>
      </c>
      <c r="AR68" s="159">
        <f t="shared" si="30"/>
        <v>9.9144900831751546E-8</v>
      </c>
      <c r="AS68" s="159" t="str">
        <f t="shared" si="31"/>
        <v>2.05847113387893E-06j</v>
      </c>
      <c r="AT68" s="159" t="str">
        <f t="shared" si="32"/>
        <v>9.91449008317515E-08+2.05847113387893E-06j</v>
      </c>
      <c r="AU68" s="159" t="str">
        <f t="shared" si="33"/>
        <v>8.98796926484301-72.4367158832008j</v>
      </c>
      <c r="AW68" s="159" t="str">
        <f t="shared" si="48"/>
        <v>1.47716833797546-11.5850788638096j</v>
      </c>
      <c r="AX68" s="159">
        <f t="shared" si="34"/>
        <v>21.34801884427447</v>
      </c>
      <c r="AY68" s="159">
        <f t="shared" si="35"/>
        <v>97.266352914340857</v>
      </c>
      <c r="AZ68" s="159" t="str">
        <f t="shared" si="36"/>
        <v>20.4791956671275-163.210396086244j</v>
      </c>
      <c r="BA68" s="159">
        <f t="shared" si="37"/>
        <v>44.322801367540634</v>
      </c>
      <c r="BB68" s="159">
        <f t="shared" si="38"/>
        <v>97.151939873745675</v>
      </c>
      <c r="BD68" s="159" t="str">
        <f t="shared" si="39"/>
        <v>11.5888807762418-130.905083954037j</v>
      </c>
      <c r="BE68" s="159">
        <f t="shared" si="40"/>
        <v>42.373034817844953</v>
      </c>
      <c r="BF68" s="159">
        <f t="shared" si="41"/>
        <v>95.059142055756652</v>
      </c>
      <c r="BH68" s="159">
        <f t="shared" si="49"/>
        <v>-41.373034817844953</v>
      </c>
      <c r="BI68" s="169">
        <f t="shared" si="50"/>
        <v>-95.059142055756652</v>
      </c>
      <c r="BN68" s="165"/>
      <c r="BO68" s="165"/>
      <c r="BP68" s="165"/>
    </row>
    <row r="69" spans="1:68" s="159" customFormat="1">
      <c r="A69" s="159">
        <v>5</v>
      </c>
      <c r="B69" s="159">
        <f t="shared" si="42"/>
        <v>125.89254117941672</v>
      </c>
      <c r="C69" s="159" t="str">
        <f t="shared" si="0"/>
        <v>791.006165022012j</v>
      </c>
      <c r="D69" s="159">
        <f t="shared" si="1"/>
        <v>0.99999974641708922</v>
      </c>
      <c r="E69" s="159" t="str">
        <f t="shared" si="2"/>
        <v>-0.000791006165022012j</v>
      </c>
      <c r="F69" s="159" t="str">
        <f t="shared" si="3"/>
        <v>0.999999746417089-0.000791006165022012j</v>
      </c>
      <c r="G69" s="159">
        <f t="shared" si="4"/>
        <v>5.1474748486742358E-7</v>
      </c>
      <c r="H69" s="159">
        <f t="shared" si="5"/>
        <v>-4.5321316864924355E-2</v>
      </c>
      <c r="J69" s="159">
        <f t="shared" si="6"/>
        <v>6.3936063936063938</v>
      </c>
      <c r="K69" s="159" t="str">
        <f t="shared" si="7"/>
        <v>1+0.193824195646169j</v>
      </c>
      <c r="L69" s="159">
        <f t="shared" si="8"/>
        <v>0.99963240887028204</v>
      </c>
      <c r="M69" s="159" t="str">
        <f t="shared" si="9"/>
        <v>0.002117972346423j</v>
      </c>
      <c r="N69" s="159" t="str">
        <f t="shared" si="10"/>
        <v>0.999632408870282+0.002117972346423j</v>
      </c>
      <c r="O69" s="159" t="str">
        <f t="shared" si="11"/>
        <v>1.00077404997705+0.191775078701131j</v>
      </c>
      <c r="P69" s="159" t="str">
        <f t="shared" si="12"/>
        <v>6.39855536448863+1.22613436931792j</v>
      </c>
      <c r="R69" s="159">
        <f t="shared" si="13"/>
        <v>31.968031968031973</v>
      </c>
      <c r="S69" s="159" t="str">
        <f t="shared" si="14"/>
        <v>1+0.0000276852157757704j</v>
      </c>
      <c r="T69" s="159" t="str">
        <f t="shared" si="15"/>
        <v>0.999632408870282+0.002117972346423j</v>
      </c>
      <c r="U69" s="159" t="str">
        <f t="shared" si="16"/>
        <v>1.00036329424487-0.00209182551431545j</v>
      </c>
      <c r="V69" s="159" t="str">
        <f t="shared" si="17"/>
        <v>31.9796457700658-0.0668715449131812j</v>
      </c>
      <c r="X69" s="159" t="str">
        <f t="shared" si="18"/>
        <v>0.250851179184098+0.047864116180096j</v>
      </c>
      <c r="Y69" s="159">
        <f t="shared" si="19"/>
        <v>-11.856372667777633</v>
      </c>
      <c r="Z69" s="159">
        <f t="shared" si="20"/>
        <v>-169.19742271833906</v>
      </c>
      <c r="AB69" s="159" t="str">
        <f t="shared" si="21"/>
        <v>14.0848472891723-0.0294523430579966j</v>
      </c>
      <c r="AC69" s="159">
        <f t="shared" si="22"/>
        <v>22.975061842463727</v>
      </c>
      <c r="AD69" s="159">
        <f t="shared" si="23"/>
        <v>179.88019092718579</v>
      </c>
      <c r="AF69" s="159" t="str">
        <f t="shared" si="24"/>
        <v>11.2428471836107-0.453756047317814j</v>
      </c>
      <c r="AG69" s="159">
        <f t="shared" si="25"/>
        <v>21.024594584587753</v>
      </c>
      <c r="AH69" s="159">
        <f t="shared" si="26"/>
        <v>177.68882351125606</v>
      </c>
      <c r="AJ69" s="159" t="str">
        <f t="shared" si="27"/>
        <v>157496.281905937-765.235905252525j</v>
      </c>
      <c r="AK69" s="159" t="str">
        <f t="shared" si="28"/>
        <v>30000-7.11905548519812E-07j</v>
      </c>
      <c r="AL69" s="159" t="str">
        <f t="shared" si="43"/>
        <v>10000-28093614.4430731j</v>
      </c>
      <c r="AM69" s="159" t="str">
        <f t="shared" si="44"/>
        <v>963.13906205374-8718708.16704475j</v>
      </c>
      <c r="AN69" s="159" t="str">
        <f t="shared" si="45"/>
        <v>10963.1390620537-8718708.16704475j</v>
      </c>
      <c r="AO69" s="159" t="str">
        <f t="shared" si="46"/>
        <v>29999.5150221825-103.224023874869j</v>
      </c>
      <c r="AP69" s="159" t="str">
        <f t="shared" si="47"/>
        <v>0.160000507655464+0.000653016323705112j</v>
      </c>
      <c r="AQ69" s="159" t="str">
        <f t="shared" si="29"/>
        <v>1+0.079021515885699j</v>
      </c>
      <c r="AR69" s="159">
        <f t="shared" si="30"/>
        <v>9.9062402406475408E-8</v>
      </c>
      <c r="AS69" s="159" t="str">
        <f t="shared" si="31"/>
        <v>2.15548388962333E-06j</v>
      </c>
      <c r="AT69" s="159" t="str">
        <f t="shared" si="32"/>
        <v>9.90624024064754E-08+2.15548388962333E-06j</v>
      </c>
      <c r="AU69" s="159" t="str">
        <f t="shared" si="33"/>
        <v>8.67900757261207-69.1910699854107j</v>
      </c>
      <c r="AW69" s="159" t="str">
        <f t="shared" si="48"/>
        <v>1.42774307476993-11.0657240907802j</v>
      </c>
      <c r="AX69" s="159">
        <f t="shared" si="34"/>
        <v>20.951299315436344</v>
      </c>
      <c r="AY69" s="159">
        <f t="shared" si="35"/>
        <v>97.351909319573878</v>
      </c>
      <c r="AZ69" s="159" t="str">
        <f t="shared" si="36"/>
        <v>19.783631674201-155.901084341591j</v>
      </c>
      <c r="BA69" s="159">
        <f t="shared" si="37"/>
        <v>43.926361157900075</v>
      </c>
      <c r="BB69" s="159">
        <f t="shared" si="38"/>
        <v>97.232100246759671</v>
      </c>
      <c r="BD69" s="159" t="str">
        <f t="shared" si="39"/>
        <v>11.0307579829548-125.058091982834j</v>
      </c>
      <c r="BE69" s="159">
        <f t="shared" si="40"/>
        <v>41.975893900024076</v>
      </c>
      <c r="BF69" s="159">
        <f t="shared" si="41"/>
        <v>95.040732830829924</v>
      </c>
      <c r="BH69" s="159">
        <f t="shared" si="49"/>
        <v>-40.975893900024076</v>
      </c>
      <c r="BI69" s="169">
        <f t="shared" si="50"/>
        <v>-95.040732830829924</v>
      </c>
      <c r="BN69" s="165"/>
      <c r="BO69" s="165"/>
      <c r="BP69" s="165"/>
    </row>
    <row r="70" spans="1:68" s="159" customFormat="1">
      <c r="A70" s="159">
        <v>6</v>
      </c>
      <c r="B70" s="159">
        <f t="shared" si="42"/>
        <v>131.82567385564073</v>
      </c>
      <c r="C70" s="159" t="str">
        <f t="shared" si="0"/>
        <v>828.28513707881j</v>
      </c>
      <c r="D70" s="159">
        <f t="shared" si="1"/>
        <v>0.99999972195186737</v>
      </c>
      <c r="E70" s="159" t="str">
        <f t="shared" si="2"/>
        <v>-0.00082828513707881j</v>
      </c>
      <c r="F70" s="159" t="str">
        <f t="shared" si="3"/>
        <v>0.999999721951867-0.00082828513707881j</v>
      </c>
      <c r="G70" s="159">
        <f t="shared" si="4"/>
        <v>5.6440941669817803E-7</v>
      </c>
      <c r="H70" s="159">
        <f t="shared" si="5"/>
        <v>-4.7457244930647867E-2</v>
      </c>
      <c r="J70" s="159">
        <f t="shared" si="6"/>
        <v>6.3936063936063938</v>
      </c>
      <c r="K70" s="159" t="str">
        <f t="shared" si="7"/>
        <v>1+0.202958848564106j</v>
      </c>
      <c r="L70" s="159">
        <f t="shared" si="8"/>
        <v>0.99959694434116853</v>
      </c>
      <c r="M70" s="159" t="str">
        <f t="shared" si="9"/>
        <v>0.00221778930792187j</v>
      </c>
      <c r="N70" s="159" t="str">
        <f t="shared" si="10"/>
        <v>0.999596944341169+0.00221778930792187j</v>
      </c>
      <c r="O70" s="159" t="str">
        <f t="shared" si="11"/>
        <v>1.0008487744739+0.200820118538415j</v>
      </c>
      <c r="P70" s="159" t="str">
        <f t="shared" si="12"/>
        <v>6.39903312350945+1.283964793852j</v>
      </c>
      <c r="R70" s="159">
        <f t="shared" si="13"/>
        <v>31.968031968031973</v>
      </c>
      <c r="S70" s="159" t="str">
        <f t="shared" si="14"/>
        <v>1+0.0000289899797977583j</v>
      </c>
      <c r="T70" s="159" t="str">
        <f t="shared" si="15"/>
        <v>0.999596944341169+0.00221778930792187j</v>
      </c>
      <c r="U70" s="159" t="str">
        <f t="shared" si="16"/>
        <v>1.00039835800604-0.002190565722161j</v>
      </c>
      <c r="V70" s="159" t="str">
        <f t="shared" si="17"/>
        <v>31.9807666895038-0.0700280750341179j</v>
      </c>
      <c r="X70" s="159" t="str">
        <f t="shared" si="18"/>
        <v>0.250873569767483+0.050121609751592j</v>
      </c>
      <c r="Y70" s="159">
        <f t="shared" si="19"/>
        <v>-11.84092182032429</v>
      </c>
      <c r="Z70" s="159">
        <f t="shared" si="20"/>
        <v>-168.7017297382786</v>
      </c>
      <c r="AB70" s="159" t="str">
        <f t="shared" si="21"/>
        <v>14.0853409775397-0.0308425787421792j</v>
      </c>
      <c r="AC70" s="159">
        <f t="shared" si="22"/>
        <v>22.975368120070655</v>
      </c>
      <c r="AD70" s="159">
        <f t="shared" si="23"/>
        <v>179.87454000796276</v>
      </c>
      <c r="AF70" s="159" t="str">
        <f t="shared" si="24"/>
        <v>11.2413668523413-0.475090365287821j</v>
      </c>
      <c r="AG70" s="159">
        <f t="shared" si="25"/>
        <v>21.02413258245662</v>
      </c>
      <c r="AH70" s="159">
        <f t="shared" si="26"/>
        <v>177.57996657115999</v>
      </c>
      <c r="AJ70" s="159" t="str">
        <f t="shared" si="27"/>
        <v>157495.923200214-801.298537381515j</v>
      </c>
      <c r="AK70" s="159" t="str">
        <f t="shared" si="28"/>
        <v>30000-7.45456623370929E-07j</v>
      </c>
      <c r="AL70" s="159" t="str">
        <f t="shared" si="43"/>
        <v>10000-26829193.5076795j</v>
      </c>
      <c r="AM70" s="159" t="str">
        <f t="shared" si="44"/>
        <v>963.139056454012-8326301.68099654j</v>
      </c>
      <c r="AN70" s="159" t="str">
        <f t="shared" si="45"/>
        <v>10963.139056454-8326301.68099654j</v>
      </c>
      <c r="AO70" s="159" t="str">
        <f t="shared" si="46"/>
        <v>29999.4682335328-108.08859177384j</v>
      </c>
      <c r="AP70" s="159" t="str">
        <f t="shared" si="47"/>
        <v>0.160000556633115+0.000683791995025169j</v>
      </c>
      <c r="AQ70" s="159" t="str">
        <f t="shared" si="29"/>
        <v>1+0.0827456851941731j</v>
      </c>
      <c r="AR70" s="159">
        <f t="shared" si="30"/>
        <v>9.8971944681943966E-8</v>
      </c>
      <c r="AS70" s="159" t="str">
        <f t="shared" si="31"/>
        <v>2.25706871568839E-06j</v>
      </c>
      <c r="AT70" s="159" t="str">
        <f t="shared" si="32"/>
        <v>9.8971944681944E-08+2.25706871568839E-06j</v>
      </c>
      <c r="AU70" s="159" t="str">
        <f t="shared" si="33"/>
        <v>8.39711948286717-66.0896674160664j</v>
      </c>
      <c r="AW70" s="159" t="str">
        <f t="shared" si="48"/>
        <v>1.38264892720774-10.5694380351278j</v>
      </c>
      <c r="AX70" s="159">
        <f t="shared" si="34"/>
        <v>20.554728964794016</v>
      </c>
      <c r="AY70" s="159">
        <f t="shared" si="35"/>
        <v>97.452869401545868</v>
      </c>
      <c r="AZ70" s="159" t="str">
        <f t="shared" si="36"/>
        <v>19.1490928670914-148.916783124162j</v>
      </c>
      <c r="BA70" s="159">
        <f t="shared" si="37"/>
        <v>43.530097084864643</v>
      </c>
      <c r="BB70" s="159">
        <f t="shared" si="38"/>
        <v>97.327409409508647</v>
      </c>
      <c r="BD70" s="159" t="str">
        <f t="shared" si="39"/>
        <v>10.5214256417425-119.471813559853j</v>
      </c>
      <c r="BE70" s="159">
        <f t="shared" si="40"/>
        <v>41.578861547250632</v>
      </c>
      <c r="BF70" s="159">
        <f t="shared" si="41"/>
        <v>95.032835972705854</v>
      </c>
      <c r="BH70" s="159">
        <f t="shared" si="49"/>
        <v>-40.578861547250632</v>
      </c>
      <c r="BI70" s="169">
        <f t="shared" si="50"/>
        <v>-95.032835972705854</v>
      </c>
      <c r="BN70" s="165"/>
      <c r="BO70" s="165"/>
      <c r="BP70" s="165"/>
    </row>
    <row r="71" spans="1:68" s="159" customFormat="1">
      <c r="A71" s="159">
        <v>7</v>
      </c>
      <c r="B71" s="159">
        <f t="shared" si="42"/>
        <v>138.03842646028849</v>
      </c>
      <c r="C71" s="159" t="str">
        <f t="shared" si="0"/>
        <v>867.321012961474j</v>
      </c>
      <c r="D71" s="159">
        <f t="shared" si="1"/>
        <v>0.99999969512628517</v>
      </c>
      <c r="E71" s="159" t="str">
        <f t="shared" si="2"/>
        <v>-0.000867321012961474j</v>
      </c>
      <c r="F71" s="159" t="str">
        <f t="shared" si="3"/>
        <v>0.999999695126285-0.000867321012961474j</v>
      </c>
      <c r="G71" s="159">
        <f t="shared" si="4"/>
        <v>6.1886265328156652E-7</v>
      </c>
      <c r="H71" s="159">
        <f t="shared" si="5"/>
        <v>-4.9693836215388143E-2</v>
      </c>
      <c r="J71" s="159">
        <f t="shared" si="6"/>
        <v>6.3936063936063938</v>
      </c>
      <c r="K71" s="159" t="str">
        <f t="shared" si="7"/>
        <v>1+0.212524004411015j</v>
      </c>
      <c r="L71" s="159">
        <f t="shared" si="8"/>
        <v>0.99955805825825916</v>
      </c>
      <c r="M71" s="159" t="str">
        <f t="shared" si="9"/>
        <v>0.00232231049788704j</v>
      </c>
      <c r="N71" s="159" t="str">
        <f t="shared" si="10"/>
        <v>0.999558058258259+0.00232231049788704j</v>
      </c>
      <c r="O71" s="159" t="str">
        <f t="shared" si="11"/>
        <v>1.00093071747423+0.210292469518421j</v>
      </c>
      <c r="P71" s="159" t="str">
        <f t="shared" si="12"/>
        <v>6.39955703480027+1.34452727764025j</v>
      </c>
      <c r="R71" s="159">
        <f t="shared" si="13"/>
        <v>31.968031968031973</v>
      </c>
      <c r="S71" s="159" t="str">
        <f t="shared" si="14"/>
        <v>1+0.0000303562354536516j</v>
      </c>
      <c r="T71" s="159" t="str">
        <f t="shared" si="15"/>
        <v>0.999558058258259+0.00232231049788704j</v>
      </c>
      <c r="U71" s="159" t="str">
        <f t="shared" si="16"/>
        <v>1.00043680744561-0.00229398247155888j</v>
      </c>
      <c r="V71" s="159" t="str">
        <f t="shared" si="17"/>
        <v>31.9819958424171-0.0733341049848993j</v>
      </c>
      <c r="X71" s="159" t="str">
        <f t="shared" si="18"/>
        <v>0.250898123155627+0.0524857517604481j</v>
      </c>
      <c r="Y71" s="159">
        <f t="shared" si="19"/>
        <v>-11.824040766118866</v>
      </c>
      <c r="Z71" s="159">
        <f t="shared" si="20"/>
        <v>-168.18459578656874</v>
      </c>
      <c r="AB71" s="159" t="str">
        <f t="shared" si="21"/>
        <v>14.0858823353522-0.0322986588790572j</v>
      </c>
      <c r="AC71" s="159">
        <f t="shared" si="22"/>
        <v>22.975703959049074</v>
      </c>
      <c r="AD71" s="159">
        <f t="shared" si="23"/>
        <v>179.86862210329761</v>
      </c>
      <c r="AF71" s="159" t="str">
        <f t="shared" si="24"/>
        <v>11.2397440468665-0.497422662370127j</v>
      </c>
      <c r="AG71" s="159">
        <f t="shared" si="25"/>
        <v>21.023626057318317</v>
      </c>
      <c r="AH71" s="159">
        <f t="shared" si="26"/>
        <v>177.4659890491852</v>
      </c>
      <c r="AJ71" s="159" t="str">
        <f t="shared" si="27"/>
        <v>157495.529889088-839.060478630989j</v>
      </c>
      <c r="AK71" s="159" t="str">
        <f t="shared" si="28"/>
        <v>30000-7.80588911665326E-07j</v>
      </c>
      <c r="AL71" s="159" t="str">
        <f t="shared" si="43"/>
        <v>10000-25621680.8887684j</v>
      </c>
      <c r="AM71" s="159" t="str">
        <f t="shared" si="44"/>
        <v>963.139050314031-7951556.39714043j</v>
      </c>
      <c r="AN71" s="159" t="str">
        <f t="shared" si="45"/>
        <v>10963.139050314-7951556.39714043j</v>
      </c>
      <c r="AO71" s="159" t="str">
        <f t="shared" si="46"/>
        <v>29999.4169310282-113.182385550971j</v>
      </c>
      <c r="AP71" s="159" t="str">
        <f t="shared" si="47"/>
        <v>0.160000610336034+0.000716018073142993j</v>
      </c>
      <c r="AQ71" s="159" t="str">
        <f t="shared" si="29"/>
        <v>1+0.0866453691948513j</v>
      </c>
      <c r="AR71" s="159">
        <f t="shared" si="30"/>
        <v>9.8872759759322501E-8</v>
      </c>
      <c r="AS71" s="159" t="str">
        <f t="shared" si="31"/>
        <v>2.36344108710989E-06j</v>
      </c>
      <c r="AT71" s="159" t="str">
        <f t="shared" si="32"/>
        <v>9.88727597593225E-08+2.36344108710989E-06j</v>
      </c>
      <c r="AU71" s="159" t="str">
        <f t="shared" si="33"/>
        <v>8.13994154297886-63.1262536346137j</v>
      </c>
      <c r="AW71" s="159" t="str">
        <f t="shared" si="48"/>
        <v>1.34150780955527-10.0952198311328j</v>
      </c>
      <c r="AX71" s="159">
        <f t="shared" si="34"/>
        <v>20.158336433958873</v>
      </c>
      <c r="AY71" s="159">
        <f t="shared" si="35"/>
        <v>97.56942819286995</v>
      </c>
      <c r="AZ71" s="159" t="str">
        <f t="shared" si="36"/>
        <v>18.5702590957167-142.243407593975j</v>
      </c>
      <c r="BA71" s="159">
        <f t="shared" si="37"/>
        <v>43.134040393007936</v>
      </c>
      <c r="BB71" s="159">
        <f t="shared" si="38"/>
        <v>97.438050296167546</v>
      </c>
      <c r="BD71" s="159" t="str">
        <f t="shared" si="39"/>
        <v>10.05661329066-114.134983385003j</v>
      </c>
      <c r="BE71" s="159">
        <f t="shared" si="40"/>
        <v>41.181962491277197</v>
      </c>
      <c r="BF71" s="159">
        <f t="shared" si="41"/>
        <v>95.035417242055118</v>
      </c>
      <c r="BH71" s="159">
        <f t="shared" si="49"/>
        <v>-40.181962491277197</v>
      </c>
      <c r="BI71" s="169">
        <f t="shared" si="50"/>
        <v>-95.035417242055118</v>
      </c>
      <c r="BN71" s="165"/>
      <c r="BO71" s="165"/>
      <c r="BP71" s="165"/>
    </row>
    <row r="72" spans="1:68" s="159" customFormat="1">
      <c r="A72" s="159">
        <v>8</v>
      </c>
      <c r="B72" s="159">
        <f t="shared" si="42"/>
        <v>144.54397707459273</v>
      </c>
      <c r="C72" s="159" t="str">
        <f t="shared" si="0"/>
        <v>908.196592996384j</v>
      </c>
      <c r="D72" s="159">
        <f t="shared" si="1"/>
        <v>0.99999966571261911</v>
      </c>
      <c r="E72" s="159" t="str">
        <f t="shared" si="2"/>
        <v>-0.000908196592996384j</v>
      </c>
      <c r="F72" s="159" t="str">
        <f t="shared" si="3"/>
        <v>0.999999665712619-0.000908196592996384j</v>
      </c>
      <c r="G72" s="159">
        <f t="shared" si="4"/>
        <v>6.7856944679112387E-7</v>
      </c>
      <c r="H72" s="159">
        <f t="shared" si="5"/>
        <v>-5.2035834835024025E-2</v>
      </c>
      <c r="J72" s="159">
        <f t="shared" si="6"/>
        <v>6.3936063936063938</v>
      </c>
      <c r="K72" s="159" t="str">
        <f t="shared" si="7"/>
        <v>1+0.222539952164869j</v>
      </c>
      <c r="L72" s="159">
        <f t="shared" si="8"/>
        <v>0.99951542051621567</v>
      </c>
      <c r="M72" s="159" t="str">
        <f t="shared" si="9"/>
        <v>0.00243175761977582j</v>
      </c>
      <c r="N72" s="159" t="str">
        <f t="shared" si="10"/>
        <v>0.999515420516216+0.00243175761977582j</v>
      </c>
      <c r="O72" s="159" t="str">
        <f t="shared" si="11"/>
        <v>1.00102057727261+0.220212423170877j</v>
      </c>
      <c r="P72" s="159" t="str">
        <f t="shared" si="12"/>
        <v>6.40013156298172+1.40795155673688j</v>
      </c>
      <c r="R72" s="159">
        <f t="shared" si="13"/>
        <v>31.968031968031973</v>
      </c>
      <c r="S72" s="159" t="str">
        <f t="shared" si="14"/>
        <v>1+0.0000317868807548734j</v>
      </c>
      <c r="T72" s="159" t="str">
        <f t="shared" si="15"/>
        <v>0.999515420516216+0.00243175761977582j</v>
      </c>
      <c r="U72" s="159" t="str">
        <f t="shared" si="16"/>
        <v>1.00047896977239-0.00240229958250619j</v>
      </c>
      <c r="V72" s="159" t="str">
        <f t="shared" si="17"/>
        <v>31.9833436890275-0.0767967898503477j</v>
      </c>
      <c r="X72" s="159" t="str">
        <f t="shared" si="18"/>
        <v>0.250925048538729+0.0549616063630315j</v>
      </c>
      <c r="Y72" s="159">
        <f t="shared" si="19"/>
        <v>-11.805603197660368</v>
      </c>
      <c r="Z72" s="159">
        <f t="shared" si="20"/>
        <v>-167.64527811727208</v>
      </c>
      <c r="AB72" s="159" t="str">
        <f t="shared" si="21"/>
        <v>14.0864759696223-0.0338237347942514j</v>
      </c>
      <c r="AC72" s="159">
        <f t="shared" si="22"/>
        <v>22.976072213907599</v>
      </c>
      <c r="AD72" s="159">
        <f t="shared" si="23"/>
        <v>179.86242453181126</v>
      </c>
      <c r="AF72" s="159" t="str">
        <f t="shared" si="24"/>
        <v>11.2379650912742-0.520798867384887j</v>
      </c>
      <c r="AG72" s="159">
        <f t="shared" si="25"/>
        <v>21.023070723798721</v>
      </c>
      <c r="AH72" s="159">
        <f t="shared" si="26"/>
        <v>177.34665105259467</v>
      </c>
      <c r="AJ72" s="159" t="str">
        <f t="shared" si="27"/>
        <v>157495.098634271-878.60177491869j</v>
      </c>
      <c r="AK72" s="159" t="str">
        <f t="shared" si="28"/>
        <v>30000-8.17376933696745E-07j</v>
      </c>
      <c r="AL72" s="159" t="str">
        <f t="shared" si="43"/>
        <v>10000-24468515.2901809j</v>
      </c>
      <c r="AM72" s="159" t="str">
        <f t="shared" si="44"/>
        <v>963.139043581681-7593677.43048637j</v>
      </c>
      <c r="AN72" s="159" t="str">
        <f t="shared" si="45"/>
        <v>10963.1390435817-7593677.43048637j</v>
      </c>
      <c r="AO72" s="159" t="str">
        <f t="shared" si="46"/>
        <v>29999.3606792266-118.516203230853j</v>
      </c>
      <c r="AP72" s="159" t="str">
        <f t="shared" si="47"/>
        <v>0.160000669220108+0.000749762912749943j</v>
      </c>
      <c r="AQ72" s="159" t="str">
        <f t="shared" si="29"/>
        <v>1+0.0907288396403388j</v>
      </c>
      <c r="AR72" s="159">
        <f t="shared" si="30"/>
        <v>9.8764005654281933E-8</v>
      </c>
      <c r="AS72" s="159" t="str">
        <f t="shared" si="31"/>
        <v>2.47482663394922E-06j</v>
      </c>
      <c r="AT72" s="159" t="str">
        <f t="shared" si="32"/>
        <v>9.87640056542819E-08+2.47482663394922E-06j</v>
      </c>
      <c r="AU72" s="159" t="str">
        <f t="shared" si="33"/>
        <v>7.90531511960455-60.2948252479047j</v>
      </c>
      <c r="AW72" s="159" t="str">
        <f t="shared" si="48"/>
        <v>1.30397440225141-9.64210877578889j</v>
      </c>
      <c r="AX72" s="159">
        <f t="shared" si="34"/>
        <v>19.762151795205387</v>
      </c>
      <c r="AY72" s="159">
        <f t="shared" si="35"/>
        <v>97.701809880924088</v>
      </c>
      <c r="AZ72" s="159" t="str">
        <f t="shared" si="36"/>
        <v>18.0422719522275-135.867438850995j</v>
      </c>
      <c r="BA72" s="159">
        <f t="shared" si="37"/>
        <v>42.738224009113004</v>
      </c>
      <c r="BB72" s="159">
        <f t="shared" si="38"/>
        <v>97.564234412735345</v>
      </c>
      <c r="BD72" s="159" t="str">
        <f t="shared" si="39"/>
        <v>9.63241948278381-109.036790220376j</v>
      </c>
      <c r="BE72" s="159">
        <f t="shared" si="40"/>
        <v>40.785222519004137</v>
      </c>
      <c r="BF72" s="159">
        <f t="shared" si="41"/>
        <v>95.048460933518768</v>
      </c>
      <c r="BH72" s="159">
        <f t="shared" si="49"/>
        <v>-39.785222519004137</v>
      </c>
      <c r="BI72" s="169">
        <f t="shared" si="50"/>
        <v>-95.048460933518768</v>
      </c>
      <c r="BN72" s="165"/>
      <c r="BO72" s="165"/>
      <c r="BP72" s="165"/>
    </row>
    <row r="73" spans="1:68" s="159" customFormat="1">
      <c r="A73" s="159">
        <v>9</v>
      </c>
      <c r="B73" s="159">
        <f t="shared" si="42"/>
        <v>151.35612484362082</v>
      </c>
      <c r="C73" s="159" t="str">
        <f t="shared" si="0"/>
        <v>950.998579769077j</v>
      </c>
      <c r="D73" s="159">
        <f t="shared" si="1"/>
        <v>0.9999996334611756</v>
      </c>
      <c r="E73" s="159" t="str">
        <f t="shared" si="2"/>
        <v>-0.000950998579769077j</v>
      </c>
      <c r="F73" s="159" t="str">
        <f t="shared" si="3"/>
        <v>0.999999633461176-0.000950998579769077j</v>
      </c>
      <c r="G73" s="159">
        <f t="shared" si="4"/>
        <v>7.4403665337749354E-7</v>
      </c>
      <c r="H73" s="159">
        <f t="shared" si="5"/>
        <v>-5.4488208489397581E-2</v>
      </c>
      <c r="J73" s="159">
        <f t="shared" si="6"/>
        <v>6.3936063936063938</v>
      </c>
      <c r="K73" s="159" t="str">
        <f t="shared" si="7"/>
        <v>1+0.233027936993716j</v>
      </c>
      <c r="L73" s="159">
        <f t="shared" si="8"/>
        <v>0.99946866916173216</v>
      </c>
      <c r="M73" s="159" t="str">
        <f t="shared" si="9"/>
        <v>0.00254636282560756j</v>
      </c>
      <c r="N73" s="159" t="str">
        <f t="shared" si="10"/>
        <v>0.999468669161732+0.00254636282560756j</v>
      </c>
      <c r="O73" s="159" t="str">
        <f t="shared" si="11"/>
        <v>1.00111911991182+0.230601250038256j</v>
      </c>
      <c r="P73" s="159" t="str">
        <f t="shared" si="12"/>
        <v>6.40076160582982+1.47437362661822j</v>
      </c>
      <c r="R73" s="159">
        <f t="shared" si="13"/>
        <v>31.968031968031973</v>
      </c>
      <c r="S73" s="159" t="str">
        <f t="shared" si="14"/>
        <v>1+0.0000332849502919177j</v>
      </c>
      <c r="T73" s="159" t="str">
        <f t="shared" si="15"/>
        <v>0.999468669161732+0.00254636282560756j</v>
      </c>
      <c r="U73" s="159" t="str">
        <f t="shared" si="16"/>
        <v>1.00052520387809-0.00251575193152932j</v>
      </c>
      <c r="V73" s="159" t="str">
        <f t="shared" si="17"/>
        <v>31.9848217023965-0.0804236381707675j</v>
      </c>
      <c r="X73" s="159" t="str">
        <f t="shared" si="18"/>
        <v>0.250954575395955+0.0575544820169896j</v>
      </c>
      <c r="Y73" s="159">
        <f t="shared" si="19"/>
        <v>-11.785472815838403</v>
      </c>
      <c r="Z73" s="159">
        <f t="shared" si="20"/>
        <v>-167.08303455645964</v>
      </c>
      <c r="AB73" s="159" t="str">
        <f t="shared" si="21"/>
        <v>14.0871269334492-0.0354211134863543j</v>
      </c>
      <c r="AC73" s="159">
        <f t="shared" si="22"/>
        <v>22.976476015055237</v>
      </c>
      <c r="AD73" s="159">
        <f t="shared" si="23"/>
        <v>179.85593399981505</v>
      </c>
      <c r="AF73" s="159" t="str">
        <f t="shared" si="24"/>
        <v>11.236015004288-0.545266910892725j</v>
      </c>
      <c r="AG73" s="159">
        <f t="shared" si="25"/>
        <v>21.022461885122535</v>
      </c>
      <c r="AH73" s="159">
        <f t="shared" si="26"/>
        <v>177.22170159451474</v>
      </c>
      <c r="AJ73" s="159" t="str">
        <f t="shared" si="27"/>
        <v>157494.625775483-920.006238676787j</v>
      </c>
      <c r="AK73" s="159" t="str">
        <f t="shared" si="28"/>
        <v>30000-8.55898721792169E-07j</v>
      </c>
      <c r="AL73" s="159" t="str">
        <f t="shared" si="43"/>
        <v>10000-23367250.6930749j</v>
      </c>
      <c r="AM73" s="159" t="str">
        <f t="shared" si="44"/>
        <v>963.139036199803-7251905.67176445j</v>
      </c>
      <c r="AN73" s="159" t="str">
        <f t="shared" si="45"/>
        <v>10963.1390361998-7251905.67176445j</v>
      </c>
      <c r="AO73" s="159" t="str">
        <f t="shared" si="46"/>
        <v>29999.2990006846-124.101350983982j</v>
      </c>
      <c r="AP73" s="159" t="str">
        <f t="shared" si="47"/>
        <v>0.1600007337852+0.000785098089865045j</v>
      </c>
      <c r="AQ73" s="159" t="str">
        <f t="shared" si="29"/>
        <v>1+0.0950047581189308j</v>
      </c>
      <c r="AR73" s="159">
        <f t="shared" si="30"/>
        <v>9.8644759149363878E-8</v>
      </c>
      <c r="AS73" s="159" t="str">
        <f t="shared" si="31"/>
        <v>2.59146161988494E-06j</v>
      </c>
      <c r="AT73" s="159" t="str">
        <f t="shared" si="32"/>
        <v>9.86447591493639E-08+2.59146161988494E-06j</v>
      </c>
      <c r="AU73" s="159" t="str">
        <f t="shared" si="33"/>
        <v>7.69126890178851-57.5896225845924j</v>
      </c>
      <c r="AW73" s="159" t="str">
        <f t="shared" si="48"/>
        <v>1.26973335290623-9.20918314022842j</v>
      </c>
      <c r="AX73" s="159">
        <f t="shared" si="34"/>
        <v>19.366206788410974</v>
      </c>
      <c r="AY73" s="159">
        <f t="shared" si="35"/>
        <v>97.850267861422537</v>
      </c>
      <c r="AZ73" s="159" t="str">
        <f t="shared" si="36"/>
        <v>17.5606953928975-129.775907218969j</v>
      </c>
      <c r="BA73" s="159">
        <f t="shared" si="37"/>
        <v>42.342682803466232</v>
      </c>
      <c r="BB73" s="159">
        <f t="shared" si="38"/>
        <v>97.706201861237574</v>
      </c>
      <c r="BD73" s="159" t="str">
        <f t="shared" si="39"/>
        <v>9.24528016198166-104.16686352384j</v>
      </c>
      <c r="BE73" s="159">
        <f t="shared" si="40"/>
        <v>40.388668673533573</v>
      </c>
      <c r="BF73" s="159">
        <f t="shared" si="41"/>
        <v>95.071969455937278</v>
      </c>
      <c r="BH73" s="159">
        <f t="shared" si="49"/>
        <v>-39.388668673533573</v>
      </c>
      <c r="BI73" s="169">
        <f t="shared" si="50"/>
        <v>-95.071969455937278</v>
      </c>
      <c r="BN73" s="165"/>
      <c r="BO73" s="165"/>
      <c r="BP73" s="165"/>
    </row>
    <row r="74" spans="1:68" s="159" customFormat="1">
      <c r="A74" s="159">
        <v>10</v>
      </c>
      <c r="B74" s="159">
        <f t="shared" si="42"/>
        <v>158.48931924611136</v>
      </c>
      <c r="C74" s="159" t="str">
        <f t="shared" si="0"/>
        <v>995.817762032062j</v>
      </c>
      <c r="D74" s="159">
        <f t="shared" si="1"/>
        <v>0.99999959809817096</v>
      </c>
      <c r="E74" s="159" t="str">
        <f t="shared" si="2"/>
        <v>-0.000995817762032062j</v>
      </c>
      <c r="F74" s="159" t="str">
        <f t="shared" si="3"/>
        <v>0.999999598098171-0.000995817762032062j</v>
      </c>
      <c r="G74" s="159">
        <f t="shared" si="4"/>
        <v>8.1582001670587286E-7</v>
      </c>
      <c r="H74" s="159">
        <f t="shared" si="5"/>
        <v>-5.705615899960146E-2</v>
      </c>
      <c r="J74" s="159">
        <f t="shared" si="6"/>
        <v>6.3936063936063938</v>
      </c>
      <c r="K74" s="159" t="str">
        <f t="shared" si="7"/>
        <v>1+0.244010205319526j</v>
      </c>
      <c r="L74" s="159">
        <f t="shared" si="8"/>
        <v>0.99941740732090079</v>
      </c>
      <c r="M74" s="159" t="str">
        <f t="shared" si="9"/>
        <v>0.00266636920838923j</v>
      </c>
      <c r="N74" s="159" t="str">
        <f t="shared" si="10"/>
        <v>0.999417407320901+0.00266636920838923j</v>
      </c>
      <c r="O74" s="159" t="str">
        <f t="shared" si="11"/>
        <v>1.0012271857958+0.241481249188635j</v>
      </c>
      <c r="P74" s="159" t="str">
        <f t="shared" si="12"/>
        <v>6.40145253655656+1.54393605874852j</v>
      </c>
      <c r="R74" s="159">
        <f t="shared" si="13"/>
        <v>31.968031968031973</v>
      </c>
      <c r="S74" s="159" t="str">
        <f t="shared" si="14"/>
        <v>1+0.0000348536216711222j</v>
      </c>
      <c r="T74" s="159" t="str">
        <f t="shared" si="15"/>
        <v>0.999417407320901+0.00266636920838923j</v>
      </c>
      <c r="U74" s="159" t="str">
        <f t="shared" si="16"/>
        <v>1.0005759034171-0.00263458604840072j</v>
      </c>
      <c r="V74" s="159" t="str">
        <f t="shared" si="17"/>
        <v>31.9864424668803-0.0842225310178052j</v>
      </c>
      <c r="X74" s="159" t="str">
        <f t="shared" si="18"/>
        <v>0.250986955474526+0.0602699438321157j</v>
      </c>
      <c r="Y74" s="159">
        <f t="shared" si="19"/>
        <v>-11.763502760186586</v>
      </c>
      <c r="Z74" s="159">
        <f t="shared" si="20"/>
        <v>-166.49712783105852</v>
      </c>
      <c r="AB74" s="159" t="str">
        <f t="shared" si="21"/>
        <v>14.0878407693813-0.0370942660285423j</v>
      </c>
      <c r="AC74" s="159">
        <f t="shared" si="22"/>
        <v>22.976918795520639</v>
      </c>
      <c r="AD74" s="159">
        <f t="shared" si="23"/>
        <v>179.84913657027562</v>
      </c>
      <c r="AF74" s="159" t="str">
        <f t="shared" si="24"/>
        <v>11.233877376158-0.570876795622191j</v>
      </c>
      <c r="AG74" s="159">
        <f t="shared" si="25"/>
        <v>21.021794393833598</v>
      </c>
      <c r="AH74" s="159">
        <f t="shared" si="26"/>
        <v>177.09087810228158</v>
      </c>
      <c r="AJ74" s="159" t="str">
        <f t="shared" si="27"/>
        <v>157494.107299394-963.36162548336j</v>
      </c>
      <c r="AK74" s="159" t="str">
        <f t="shared" si="28"/>
        <v>30000-8.96235985828857E-07j</v>
      </c>
      <c r="AL74" s="159" t="str">
        <f t="shared" si="43"/>
        <v>10000-22315551.1675908j</v>
      </c>
      <c r="AM74" s="159" t="str">
        <f t="shared" si="44"/>
        <v>963.139028105732-6925516.17725227j</v>
      </c>
      <c r="AN74" s="159" t="str">
        <f t="shared" si="45"/>
        <v>10963.1390281057-6925516.17725227j</v>
      </c>
      <c r="AO74" s="159" t="str">
        <f t="shared" si="46"/>
        <v>29999.2313719071-129.949666963946j</v>
      </c>
      <c r="AP74" s="159" t="str">
        <f t="shared" si="47"/>
        <v>0.160000804579405+0.000822098553632366j</v>
      </c>
      <c r="AQ74" s="159" t="str">
        <f t="shared" si="29"/>
        <v>1+0.099482194427003j</v>
      </c>
      <c r="AR74" s="159">
        <f t="shared" si="30"/>
        <v>9.8514007956754952E-8</v>
      </c>
      <c r="AS74" s="159" t="str">
        <f t="shared" si="31"/>
        <v>2.71359344335975E-06j</v>
      </c>
      <c r="AT74" s="159" t="str">
        <f t="shared" si="32"/>
        <v>9.8514007956755E-08+2.71359344335975E-06j</v>
      </c>
      <c r="AU74" s="159" t="str">
        <f t="shared" si="33"/>
        <v>7.4960028560115-55.0051221122481j</v>
      </c>
      <c r="AW74" s="159" t="str">
        <f t="shared" si="48"/>
        <v>1.23849670957781-8.79555895595515j</v>
      </c>
      <c r="AX74" s="159">
        <f t="shared" si="34"/>
        <v>18.970535068973334</v>
      </c>
      <c r="AY74" s="159">
        <f t="shared" si="35"/>
        <v>98.015084775778803</v>
      </c>
      <c r="AZ74" s="159" t="str">
        <f t="shared" si="36"/>
        <v>17.121479634153-123.956375175623j</v>
      </c>
      <c r="BA74" s="159">
        <f t="shared" si="37"/>
        <v>41.947453864494022</v>
      </c>
      <c r="BB74" s="159">
        <f t="shared" si="38"/>
        <v>97.864221346054393</v>
      </c>
      <c r="BD74" s="159" t="str">
        <f t="shared" si="39"/>
        <v>8.89193965369057-99.5152597989213j</v>
      </c>
      <c r="BE74" s="159">
        <f t="shared" si="40"/>
        <v>39.992329462806978</v>
      </c>
      <c r="BF74" s="159">
        <f t="shared" si="41"/>
        <v>95.105962878060367</v>
      </c>
      <c r="BH74" s="159">
        <f t="shared" si="49"/>
        <v>-38.992329462806978</v>
      </c>
      <c r="BI74" s="169">
        <f t="shared" si="50"/>
        <v>-95.105962878060367</v>
      </c>
      <c r="BN74" s="165"/>
      <c r="BO74" s="165"/>
      <c r="BP74" s="165"/>
    </row>
    <row r="75" spans="1:68" s="159" customFormat="1">
      <c r="A75" s="159">
        <v>11</v>
      </c>
      <c r="B75" s="159">
        <f t="shared" si="42"/>
        <v>165.95869074375605</v>
      </c>
      <c r="C75" s="159" t="str">
        <f t="shared" si="0"/>
        <v>1042.74920727993j</v>
      </c>
      <c r="D75" s="159">
        <f t="shared" si="1"/>
        <v>0.99999955932340745</v>
      </c>
      <c r="E75" s="159" t="str">
        <f t="shared" si="2"/>
        <v>-0.00104274920727993j</v>
      </c>
      <c r="F75" s="159" t="str">
        <f t="shared" si="3"/>
        <v>0.999999559323407-0.00104274920727993j</v>
      </c>
      <c r="G75" s="159">
        <f t="shared" si="4"/>
        <v>8.9452892208421197E-7</v>
      </c>
      <c r="H75" s="159">
        <f t="shared" si="5"/>
        <v>-5.9745133341886962E-2</v>
      </c>
      <c r="J75" s="159">
        <f t="shared" si="6"/>
        <v>6.3936063936063938</v>
      </c>
      <c r="K75" s="159" t="str">
        <f t="shared" si="7"/>
        <v>1+0.255510052005838j</v>
      </c>
      <c r="L75" s="159">
        <f t="shared" si="8"/>
        <v>0.99936119983013516</v>
      </c>
      <c r="M75" s="159" t="str">
        <f t="shared" si="9"/>
        <v>0.00279203131774825j</v>
      </c>
      <c r="N75" s="159" t="str">
        <f t="shared" si="10"/>
        <v>0.999361199830135+0.00279203131774825j</v>
      </c>
      <c r="O75" s="159" t="str">
        <f t="shared" si="11"/>
        <v>1.00134569695599+0.2528758005644j</v>
      </c>
      <c r="P75" s="159" t="str">
        <f t="shared" si="12"/>
        <v>6.40221025026807+1.61678833527688j</v>
      </c>
      <c r="R75" s="159">
        <f t="shared" si="13"/>
        <v>31.968031968031973</v>
      </c>
      <c r="S75" s="159" t="str">
        <f t="shared" si="14"/>
        <v>1+0.0000364962222547975j</v>
      </c>
      <c r="T75" s="159" t="str">
        <f t="shared" si="15"/>
        <v>0.999361199830135+0.00279203131774825j</v>
      </c>
      <c r="U75" s="159" t="str">
        <f t="shared" si="16"/>
        <v>1.00063150018826-0.00275906075227347j</v>
      </c>
      <c r="V75" s="159" t="str">
        <f t="shared" si="17"/>
        <v>31.9882197862381-0.0882017423304206j</v>
      </c>
      <c r="X75" s="159" t="str">
        <f t="shared" si="18"/>
        <v>0.251022464964094+0.0631138266279758j</v>
      </c>
      <c r="Y75" s="159">
        <f t="shared" si="19"/>
        <v>-11.739535049638363</v>
      </c>
      <c r="Z75" s="159">
        <f t="shared" si="20"/>
        <v>-165.88683051962497</v>
      </c>
      <c r="AB75" s="159" t="str">
        <f t="shared" si="21"/>
        <v>14.0886235570307-0.0388468365251797j</v>
      </c>
      <c r="AC75" s="159">
        <f t="shared" si="22"/>
        <v>22.977404320271219</v>
      </c>
      <c r="AD75" s="159">
        <f t="shared" si="23"/>
        <v>179.84201762999299</v>
      </c>
      <c r="AF75" s="159" t="str">
        <f t="shared" si="24"/>
        <v>11.2315342342436-0.597680666727967j</v>
      </c>
      <c r="AG75" s="159">
        <f t="shared" si="25"/>
        <v>21.021062608809487</v>
      </c>
      <c r="AH75" s="159">
        <f t="shared" si="26"/>
        <v>176.95390590719776</v>
      </c>
      <c r="AJ75" s="159" t="str">
        <f t="shared" si="27"/>
        <v>157493.538805592-1008.75981888808j</v>
      </c>
      <c r="AK75" s="159" t="str">
        <f t="shared" si="28"/>
        <v>30000-9.38474286551937E-07j</v>
      </c>
      <c r="AL75" s="159" t="str">
        <f t="shared" si="43"/>
        <v>10000-21311185.9180312j</v>
      </c>
      <c r="AM75" s="159" t="str">
        <f t="shared" si="44"/>
        <v>963.139019230762-6613816.63107217j</v>
      </c>
      <c r="AN75" s="159" t="str">
        <f t="shared" si="45"/>
        <v>10963.1390192308-6613816.63107217j</v>
      </c>
      <c r="AO75" s="159" t="str">
        <f t="shared" si="46"/>
        <v>29999.1572189069-136.073546251583j</v>
      </c>
      <c r="AP75" s="159" t="str">
        <f t="shared" si="47"/>
        <v>0.160000882203693+0.000860842785269346j</v>
      </c>
      <c r="AQ75" s="159" t="str">
        <f t="shared" si="29"/>
        <v>1+0.104170645807265j</v>
      </c>
      <c r="AR75" s="159">
        <f t="shared" si="30"/>
        <v>9.8370642124939543E-8</v>
      </c>
      <c r="AS75" s="159" t="str">
        <f t="shared" si="31"/>
        <v>2.84148116234574E-06j</v>
      </c>
      <c r="AT75" s="159" t="str">
        <f t="shared" si="32"/>
        <v>9.83706421249395E-08+2.84148116234574E-06j</v>
      </c>
      <c r="AU75" s="159" t="str">
        <f t="shared" si="33"/>
        <v>7.31787351999297-52.5360287659318j</v>
      </c>
      <c r="AW75" s="159" t="str">
        <f t="shared" si="48"/>
        <v>1.21000156821903-8.40038878687852j</v>
      </c>
      <c r="AX75" s="159">
        <f t="shared" si="34"/>
        <v>18.575172468120229</v>
      </c>
      <c r="AY75" s="159">
        <f t="shared" si="35"/>
        <v>98.196572523994575</v>
      </c>
      <c r="AZ75" s="159" t="str">
        <f t="shared" si="36"/>
        <v>16.7209280681028-118.396920084149j</v>
      </c>
      <c r="BA75" s="159">
        <f t="shared" si="37"/>
        <v>41.552576788391434</v>
      </c>
      <c r="BB75" s="159">
        <f t="shared" si="38"/>
        <v>98.038590153987528</v>
      </c>
      <c r="BD75" s="159" t="str">
        <f t="shared" si="39"/>
        <v>8.56942406602466-95.0724487848168j</v>
      </c>
      <c r="BE75" s="159">
        <f t="shared" si="40"/>
        <v>39.59623507692968</v>
      </c>
      <c r="BF75" s="159">
        <f t="shared" si="41"/>
        <v>95.150478431192283</v>
      </c>
      <c r="BH75" s="159">
        <f t="shared" si="49"/>
        <v>-38.59623507692968</v>
      </c>
      <c r="BI75" s="169">
        <f t="shared" si="50"/>
        <v>-95.150478431192283</v>
      </c>
      <c r="BN75" s="165"/>
      <c r="BO75" s="165"/>
      <c r="BP75" s="165"/>
    </row>
    <row r="76" spans="1:68" s="159" customFormat="1">
      <c r="A76" s="159">
        <v>12</v>
      </c>
      <c r="B76" s="159">
        <f t="shared" si="42"/>
        <v>173.78008287493756</v>
      </c>
      <c r="C76" s="159" t="str">
        <f t="shared" si="0"/>
        <v>1091.89246340026j</v>
      </c>
      <c r="D76" s="159">
        <f t="shared" si="1"/>
        <v>0.9999995168077247</v>
      </c>
      <c r="E76" s="159" t="str">
        <f t="shared" si="2"/>
        <v>-0.00109189246340026j</v>
      </c>
      <c r="F76" s="159" t="str">
        <f t="shared" si="3"/>
        <v>0.999999516807725-0.00109189246340026j</v>
      </c>
      <c r="G76" s="159">
        <f t="shared" si="4"/>
        <v>9.8083154596442236E-7</v>
      </c>
      <c r="H76" s="159">
        <f t="shared" si="5"/>
        <v>-6.2560835201601966E-2</v>
      </c>
      <c r="J76" s="159">
        <f t="shared" si="6"/>
        <v>6.3936063936063938</v>
      </c>
      <c r="K76" s="159" t="str">
        <f t="shared" si="7"/>
        <v>1+0.267551869769283j</v>
      </c>
      <c r="L76" s="159">
        <f t="shared" si="8"/>
        <v>0.99929956954205057</v>
      </c>
      <c r="M76" s="159" t="str">
        <f t="shared" si="9"/>
        <v>0.00292361569986636j</v>
      </c>
      <c r="N76" s="159" t="str">
        <f t="shared" si="10"/>
        <v>0.999299569542051+0.00292361569986636j</v>
      </c>
      <c r="O76" s="159" t="str">
        <f t="shared" si="11"/>
        <v>1.00147566503757+0.264809420375528j</v>
      </c>
      <c r="P76" s="159" t="str">
        <f t="shared" si="12"/>
        <v>6.40304121502542+1.69308720320018j</v>
      </c>
      <c r="R76" s="159">
        <f t="shared" si="13"/>
        <v>31.968031968031973</v>
      </c>
      <c r="S76" s="159" t="str">
        <f t="shared" si="14"/>
        <v>1+0.0000382162362190091j</v>
      </c>
      <c r="T76" s="159" t="str">
        <f t="shared" si="15"/>
        <v>0.999299569542051+0.00292361569986636j</v>
      </c>
      <c r="U76" s="159" t="str">
        <f t="shared" si="16"/>
        <v>1.00069246784848-0.00288944783078816j</v>
      </c>
      <c r="V76" s="159" t="str">
        <f t="shared" si="17"/>
        <v>31.990168802349-0.0923699606245965j</v>
      </c>
      <c r="X76" s="159" t="str">
        <f t="shared" si="18"/>
        <v>0.251061406886208+0.0660922487502539j</v>
      </c>
      <c r="Y76" s="159">
        <f t="shared" si="19"/>
        <v>-11.713400044110925</v>
      </c>
      <c r="Z76" s="159">
        <f t="shared" si="20"/>
        <v>-165.25143067010757</v>
      </c>
      <c r="AB76" s="159" t="str">
        <f t="shared" si="21"/>
        <v>14.0894819653596-0.0406826516734625j</v>
      </c>
      <c r="AC76" s="159">
        <f t="shared" si="22"/>
        <v>22.977936718384825</v>
      </c>
      <c r="AD76" s="159">
        <f t="shared" si="23"/>
        <v>179.83456185485875</v>
      </c>
      <c r="AF76" s="159" t="str">
        <f t="shared" si="24"/>
        <v>11.2289658963085-0.625732881368949j</v>
      </c>
      <c r="AG76" s="159">
        <f t="shared" si="25"/>
        <v>21.020260348227605</v>
      </c>
      <c r="AH76" s="159">
        <f t="shared" si="26"/>
        <v>176.81049771548996</v>
      </c>
      <c r="AJ76" s="159" t="str">
        <f t="shared" si="27"/>
        <v>157492.91546925-1056.29702379903j</v>
      </c>
      <c r="AK76" s="159" t="str">
        <f t="shared" si="28"/>
        <v>30000-9.82703217060234E-07j</v>
      </c>
      <c r="AL76" s="159" t="str">
        <f t="shared" si="43"/>
        <v>10000-20352024.5510442j</v>
      </c>
      <c r="AM76" s="159" t="str">
        <f t="shared" si="44"/>
        <v>963.139009499554-6316145.87669641j</v>
      </c>
      <c r="AN76" s="159" t="str">
        <f t="shared" si="45"/>
        <v>10963.1390094996-6316145.87669641j</v>
      </c>
      <c r="AO76" s="159" t="str">
        <f t="shared" si="46"/>
        <v>29999.0759123358-142.485966955853j</v>
      </c>
      <c r="AP76" s="159" t="str">
        <f t="shared" si="47"/>
        <v>0.160000967317016+0.000901412964503067j</v>
      </c>
      <c r="AQ76" s="159" t="str">
        <f t="shared" si="29"/>
        <v>1+0.109080057093686j</v>
      </c>
      <c r="AR76" s="159">
        <f t="shared" si="30"/>
        <v>9.8213444616282012E-8</v>
      </c>
      <c r="AS76" s="159" t="str">
        <f t="shared" si="31"/>
        <v>2.97539604384107E-06j</v>
      </c>
      <c r="AT76" s="159" t="str">
        <f t="shared" si="32"/>
        <v>9.8213444616282E-08+2.97539604384107E-06j</v>
      </c>
      <c r="AU76" s="159" t="str">
        <f t="shared" si="33"/>
        <v>7.15538052960106-50.1772682462511j</v>
      </c>
      <c r="AW76" s="159" t="str">
        <f t="shared" si="48"/>
        <v>1.18400791739438-8.02286049643265j</v>
      </c>
      <c r="AX76" s="159">
        <f t="shared" si="34"/>
        <v>18.180157267011591</v>
      </c>
      <c r="AY76" s="159">
        <f t="shared" si="35"/>
        <v>98.395072243419961</v>
      </c>
      <c r="AZ76" s="159" t="str">
        <f t="shared" si="36"/>
        <v>16.35566695997-113.086116856766j</v>
      </c>
      <c r="BA76" s="159">
        <f t="shared" si="37"/>
        <v>41.158093985396434</v>
      </c>
      <c r="BB76" s="159">
        <f t="shared" si="38"/>
        <v>98.229634098278709</v>
      </c>
      <c r="BD76" s="159" t="str">
        <f t="shared" si="39"/>
        <v>8.27501691012683-90.8292995909977j</v>
      </c>
      <c r="BE76" s="159">
        <f t="shared" si="40"/>
        <v>39.200417615239196</v>
      </c>
      <c r="BF76" s="159">
        <f t="shared" si="41"/>
        <v>95.205569958909919</v>
      </c>
      <c r="BH76" s="159">
        <f t="shared" si="49"/>
        <v>-38.200417615239196</v>
      </c>
      <c r="BI76" s="169">
        <f t="shared" si="50"/>
        <v>-95.205569958909919</v>
      </c>
      <c r="BN76" s="165"/>
      <c r="BO76" s="165"/>
      <c r="BP76" s="165"/>
    </row>
    <row r="77" spans="1:68" s="159" customFormat="1">
      <c r="A77" s="159">
        <v>13</v>
      </c>
      <c r="B77" s="159">
        <f t="shared" si="42"/>
        <v>181.97008586099835</v>
      </c>
      <c r="C77" s="159" t="str">
        <f t="shared" si="0"/>
        <v>1143.35176982803j</v>
      </c>
      <c r="D77" s="159">
        <f t="shared" si="1"/>
        <v>0.99999947019020563</v>
      </c>
      <c r="E77" s="159" t="str">
        <f t="shared" si="2"/>
        <v>-0.00114335176982803j</v>
      </c>
      <c r="F77" s="159" t="str">
        <f t="shared" si="3"/>
        <v>0.999999470190206-0.00114335176982803j</v>
      </c>
      <c r="G77" s="159">
        <f t="shared" si="4"/>
        <v>1.0754604991777432E-6</v>
      </c>
      <c r="H77" s="159">
        <f t="shared" si="5"/>
        <v>-6.5509237071668044E-2</v>
      </c>
      <c r="J77" s="159">
        <f t="shared" si="6"/>
        <v>6.3936063936063938</v>
      </c>
      <c r="K77" s="159" t="str">
        <f t="shared" si="7"/>
        <v>1+0.280161200919811j</v>
      </c>
      <c r="L77" s="159">
        <f t="shared" si="8"/>
        <v>0.99923199327494394</v>
      </c>
      <c r="M77" s="159" t="str">
        <f t="shared" si="9"/>
        <v>0.00306140146285987j</v>
      </c>
      <c r="N77" s="159" t="str">
        <f t="shared" si="10"/>
        <v>0.999231993274944+0.00306140146285987j</v>
      </c>
      <c r="O77" s="159" t="str">
        <f t="shared" si="11"/>
        <v>1.0016182000787+0.277307819767355j</v>
      </c>
      <c r="P77" s="159" t="str">
        <f t="shared" si="12"/>
        <v>6.4039525279757+1.77299704946161j</v>
      </c>
      <c r="R77" s="159">
        <f t="shared" si="13"/>
        <v>31.968031968031973</v>
      </c>
      <c r="S77" s="159" t="str">
        <f t="shared" si="14"/>
        <v>1+0.000040017311943981j</v>
      </c>
      <c r="T77" s="159" t="str">
        <f t="shared" si="15"/>
        <v>0.999231993274944+0.00306140146285987j</v>
      </c>
      <c r="U77" s="159" t="str">
        <f t="shared" si="16"/>
        <v>1.00075932599139-0.00302603276613134j</v>
      </c>
      <c r="V77" s="159" t="str">
        <f t="shared" si="17"/>
        <v>31.9923061255989-0.0967363122039989j</v>
      </c>
      <c r="X77" s="159" t="str">
        <f t="shared" si="18"/>
        <v>0.251104113720672+0.069211626703006j</v>
      </c>
      <c r="Y77" s="159">
        <f t="shared" si="19"/>
        <v>-11.68491593911687</v>
      </c>
      <c r="Z77" s="159">
        <f t="shared" si="20"/>
        <v>-164.590238125621</v>
      </c>
      <c r="AB77" s="159" t="str">
        <f t="shared" si="21"/>
        <v>14.0904233101074-0.0426057309861259j</v>
      </c>
      <c r="AC77" s="159">
        <f t="shared" si="22"/>
        <v>22.978520518355392</v>
      </c>
      <c r="AD77" s="159">
        <f t="shared" si="23"/>
        <v>179.8267531730483</v>
      </c>
      <c r="AF77" s="159" t="str">
        <f t="shared" si="24"/>
        <v>11.2261508104808-0.655090077000386j</v>
      </c>
      <c r="AG77" s="159">
        <f t="shared" si="25"/>
        <v>21.019380838114017</v>
      </c>
      <c r="AH77" s="159">
        <f t="shared" si="26"/>
        <v>176.66035306034621</v>
      </c>
      <c r="AJ77" s="159" t="str">
        <f t="shared" si="27"/>
        <v>157492.232000214-1106.07396881197j</v>
      </c>
      <c r="AK77" s="159" t="str">
        <f t="shared" si="28"/>
        <v>30000-1.02901659284523E-06j</v>
      </c>
      <c r="AL77" s="159" t="str">
        <f t="shared" si="43"/>
        <v>9999.99999999998-19436032.5567735j</v>
      </c>
      <c r="AM77" s="159" t="str">
        <f t="shared" si="44"/>
        <v>963.138998829491-6031872.51454558j</v>
      </c>
      <c r="AN77" s="159" t="str">
        <f t="shared" si="45"/>
        <v>10963.1389988295-6031872.51454558j</v>
      </c>
      <c r="AO77" s="159" t="str">
        <f t="shared" si="46"/>
        <v>29998.9867621468-149.200517523127j</v>
      </c>
      <c r="AP77" s="159" t="str">
        <f t="shared" si="47"/>
        <v>0.160001060641898+0.000943895143846466j</v>
      </c>
      <c r="AQ77" s="159" t="str">
        <f t="shared" si="29"/>
        <v>1+0.11422084180582j</v>
      </c>
      <c r="AR77" s="159">
        <f t="shared" si="30"/>
        <v>9.8041080975551016E-8</v>
      </c>
      <c r="AS77" s="159" t="str">
        <f t="shared" si="31"/>
        <v>3.11562213926368E-06j</v>
      </c>
      <c r="AT77" s="159" t="str">
        <f t="shared" si="32"/>
        <v>9.8041080975551E-08+3.11562213926368E-06j</v>
      </c>
      <c r="AU77" s="159" t="str">
        <f t="shared" si="33"/>
        <v>7.0071542805091-47.9239793356533j</v>
      </c>
      <c r="AW77" s="159" t="str">
        <f t="shared" si="48"/>
        <v>1.16029666453205-7.66219601757538j</v>
      </c>
      <c r="AX77" s="159">
        <f t="shared" si="34"/>
        <v>17.785530486007858</v>
      </c>
      <c r="AY77" s="159">
        <f t="shared" si="35"/>
        <v>98.610954242210937</v>
      </c>
      <c r="AZ77" s="159" t="str">
        <f t="shared" si="36"/>
        <v>16.0226177062745-108.01302066021j</v>
      </c>
      <c r="BA77" s="159">
        <f t="shared" si="37"/>
        <v>40.76405100436331</v>
      </c>
      <c r="BB77" s="159">
        <f t="shared" si="38"/>
        <v>98.437707415259183</v>
      </c>
      <c r="BD77" s="159" t="str">
        <f t="shared" si="39"/>
        <v>8.00623676178916-86.777066864079j</v>
      </c>
      <c r="BE77" s="159">
        <f t="shared" si="40"/>
        <v>38.804911324121953</v>
      </c>
      <c r="BF77" s="159">
        <f t="shared" si="41"/>
        <v>95.271307302557133</v>
      </c>
      <c r="BH77" s="159">
        <f t="shared" si="49"/>
        <v>-37.804911324121953</v>
      </c>
      <c r="BI77" s="169">
        <f t="shared" si="50"/>
        <v>-95.271307302557133</v>
      </c>
      <c r="BN77" s="165"/>
      <c r="BO77" s="165"/>
      <c r="BP77" s="165"/>
    </row>
    <row r="78" spans="1:68" s="159" customFormat="1">
      <c r="A78" s="159">
        <v>14</v>
      </c>
      <c r="B78" s="159">
        <f t="shared" si="42"/>
        <v>190.54607179632475</v>
      </c>
      <c r="C78" s="159" t="str">
        <f t="shared" si="0"/>
        <v>1197.23627865145j</v>
      </c>
      <c r="D78" s="159">
        <f t="shared" si="1"/>
        <v>0.99999941907511236</v>
      </c>
      <c r="E78" s="159" t="str">
        <f t="shared" si="2"/>
        <v>-0.00119723627865145j</v>
      </c>
      <c r="F78" s="159" t="str">
        <f t="shared" si="3"/>
        <v>0.999999419075112-0.00119723627865145j</v>
      </c>
      <c r="G78" s="159">
        <f t="shared" si="4"/>
        <v>1.1792190969811345E-6</v>
      </c>
      <c r="H78" s="159">
        <f t="shared" si="5"/>
        <v>-6.8596592921264452E-2</v>
      </c>
      <c r="J78" s="159">
        <f t="shared" si="6"/>
        <v>6.3936063936063938</v>
      </c>
      <c r="K78" s="159" t="str">
        <f t="shared" si="7"/>
        <v>1+0.293364791539358j</v>
      </c>
      <c r="L78" s="159">
        <f t="shared" si="8"/>
        <v>0.99915789737148464</v>
      </c>
      <c r="M78" s="159" t="str">
        <f t="shared" si="9"/>
        <v>0.00320568086880535j</v>
      </c>
      <c r="N78" s="159" t="str">
        <f t="shared" si="10"/>
        <v>0.999157897371485+0.00320568086880535j</v>
      </c>
      <c r="O78" s="159" t="str">
        <f t="shared" si="11"/>
        <v>1.00177452016381+0.290397967016552j</v>
      </c>
      <c r="P78" s="159" t="str">
        <f t="shared" si="12"/>
        <v>6.40495197707131+1.85669029860733j</v>
      </c>
      <c r="R78" s="159">
        <f t="shared" si="13"/>
        <v>31.968031968031973</v>
      </c>
      <c r="S78" s="159" t="str">
        <f t="shared" si="14"/>
        <v>1+0.0000419032697528007j</v>
      </c>
      <c r="T78" s="159" t="str">
        <f t="shared" si="15"/>
        <v>0.999157897371485+0.00320568086880535j</v>
      </c>
      <c r="U78" s="159" t="str">
        <f t="shared" si="16"/>
        <v>1.00083264462778-0.00316911551250947j</v>
      </c>
      <c r="V78" s="159" t="str">
        <f t="shared" si="17"/>
        <v>31.9946499781109-0.101310386014289j</v>
      </c>
      <c r="X78" s="159" t="str">
        <f t="shared" si="18"/>
        <v>0.25115095029291+0.0724786906599596j</v>
      </c>
      <c r="Y78" s="159">
        <f t="shared" si="19"/>
        <v>-11.65388830760052</v>
      </c>
      <c r="Z78" s="159">
        <f t="shared" si="20"/>
        <v>-163.90259159294106</v>
      </c>
      <c r="AB78" s="159" t="str">
        <f t="shared" si="21"/>
        <v>14.0914556168733-0.0446202977380705j</v>
      </c>
      <c r="AC78" s="159">
        <f t="shared" si="22"/>
        <v>22.979160686840526</v>
      </c>
      <c r="AD78" s="159">
        <f t="shared" si="23"/>
        <v>179.81857472598566</v>
      </c>
      <c r="AF78" s="159" t="str">
        <f t="shared" si="24"/>
        <v>11.2230653807521-0.685811237664986j</v>
      </c>
      <c r="AG78" s="159">
        <f t="shared" si="25"/>
        <v>21.018416656070748</v>
      </c>
      <c r="AH78" s="159">
        <f t="shared" si="26"/>
        <v>176.50315773501532</v>
      </c>
      <c r="AJ78" s="159" t="str">
        <f t="shared" si="27"/>
        <v>157491.482598136-1158.19611787823j</v>
      </c>
      <c r="AK78" s="159" t="str">
        <f t="shared" si="28"/>
        <v>30000-0.0000010775126507863j</v>
      </c>
      <c r="AL78" s="159" t="str">
        <f t="shared" si="43"/>
        <v>10000-18561266.99339j</v>
      </c>
      <c r="AM78" s="159" t="str">
        <f t="shared" si="44"/>
        <v>963.138987130005-5760393.56270533j</v>
      </c>
      <c r="AN78" s="159" t="str">
        <f t="shared" si="45"/>
        <v>10963.13898713-5760393.56270533j</v>
      </c>
      <c r="AO78" s="159" t="str">
        <f t="shared" si="46"/>
        <v>29998.889011742-156.231425308664j</v>
      </c>
      <c r="AP78" s="159" t="str">
        <f t="shared" si="47"/>
        <v>0.160001162970574+0.000988379431083837j</v>
      </c>
      <c r="AQ78" s="159" t="str">
        <f t="shared" si="29"/>
        <v>1+0.11960390423728j</v>
      </c>
      <c r="AR78" s="159">
        <f t="shared" si="30"/>
        <v>9.7852088001681622E-8</v>
      </c>
      <c r="AS78" s="159" t="str">
        <f t="shared" si="31"/>
        <v>3.26245688696241E-06j</v>
      </c>
      <c r="AT78" s="159" t="str">
        <f t="shared" si="32"/>
        <v>9.78520880016816E-08+3.26245688696241E-06j</v>
      </c>
      <c r="AU78" s="159" t="str">
        <f t="shared" si="33"/>
        <v>6.87194463321222-45.7715062736179j</v>
      </c>
      <c r="AW78" s="159" t="str">
        <f t="shared" si="48"/>
        <v>1.13866782909246-7.31765013217224j</v>
      </c>
      <c r="AX78" s="159">
        <f t="shared" si="34"/>
        <v>17.391336190438675</v>
      </c>
      <c r="AY78" s="159">
        <f t="shared" si="35"/>
        <v>98.844617874648023</v>
      </c>
      <c r="AZ78" s="159" t="str">
        <f t="shared" si="36"/>
        <v>15.7189714483774-103.167149754871j</v>
      </c>
      <c r="BA78" s="159">
        <f t="shared" si="37"/>
        <v>40.370496877279194</v>
      </c>
      <c r="BB78" s="159">
        <f t="shared" si="38"/>
        <v>98.663192600633735</v>
      </c>
      <c r="BD78" s="159" t="str">
        <f t="shared" si="39"/>
        <v>7.76081679891942-82.9073770599975j</v>
      </c>
      <c r="BE78" s="159">
        <f t="shared" si="40"/>
        <v>38.40975284650942</v>
      </c>
      <c r="BF78" s="159">
        <f t="shared" si="41"/>
        <v>95.347775609663401</v>
      </c>
      <c r="BH78" s="159">
        <f t="shared" si="49"/>
        <v>-37.40975284650942</v>
      </c>
      <c r="BI78" s="169">
        <f t="shared" si="50"/>
        <v>-95.347775609663401</v>
      </c>
      <c r="BN78" s="165"/>
      <c r="BO78" s="165"/>
      <c r="BP78" s="165"/>
    </row>
    <row r="79" spans="1:68" s="159" customFormat="1">
      <c r="A79" s="159">
        <v>15</v>
      </c>
      <c r="B79" s="159">
        <f t="shared" si="42"/>
        <v>199.52623149688799</v>
      </c>
      <c r="C79" s="159" t="str">
        <f t="shared" si="0"/>
        <v>1253.66028613816j</v>
      </c>
      <c r="D79" s="159">
        <f t="shared" si="1"/>
        <v>0.9999993630285271</v>
      </c>
      <c r="E79" s="159" t="str">
        <f t="shared" si="2"/>
        <v>-0.00125366028613816j</v>
      </c>
      <c r="F79" s="159" t="str">
        <f t="shared" si="3"/>
        <v>0.999999363028527-0.00125366028613816j</v>
      </c>
      <c r="G79" s="159">
        <f t="shared" si="4"/>
        <v>1.292988169124875E-6</v>
      </c>
      <c r="H79" s="159">
        <f t="shared" si="5"/>
        <v>-7.1829451461592642E-2</v>
      </c>
      <c r="J79" s="159">
        <f t="shared" si="6"/>
        <v>6.3936063936063938</v>
      </c>
      <c r="K79" s="159" t="str">
        <f t="shared" si="7"/>
        <v>1+0.307190648213864j</v>
      </c>
      <c r="L79" s="159">
        <f t="shared" si="8"/>
        <v>0.99907665282891811</v>
      </c>
      <c r="M79" s="159" t="str">
        <f t="shared" si="9"/>
        <v>0.00335675995366671j</v>
      </c>
      <c r="N79" s="159" t="str">
        <f t="shared" si="10"/>
        <v>0.999076652828918+0.00335675995366671j</v>
      </c>
      <c r="O79" s="159" t="str">
        <f t="shared" si="11"/>
        <v>1.001945962041+0.304108153536017j</v>
      </c>
      <c r="P79" s="159" t="str">
        <f t="shared" si="12"/>
        <v>6.40604810895345+1.94434783479571j</v>
      </c>
      <c r="R79" s="159">
        <f t="shared" si="13"/>
        <v>31.968031968031973</v>
      </c>
      <c r="S79" s="159" t="str">
        <f t="shared" si="14"/>
        <v>1+0.0000438781100148356j</v>
      </c>
      <c r="T79" s="159" t="str">
        <f t="shared" si="15"/>
        <v>0.999076652828918+0.00335675995366671j</v>
      </c>
      <c r="U79" s="159" t="str">
        <f t="shared" si="16"/>
        <v>1.00091304910807-0.00331901133005599j</v>
      </c>
      <c r="V79" s="159" t="str">
        <f t="shared" si="17"/>
        <v>31.9972203511071-0.10610226030149j</v>
      </c>
      <c r="X79" s="159" t="str">
        <f t="shared" si="18"/>
        <v>0.251202316949146+0.0759005009246741j</v>
      </c>
      <c r="Y79" s="159">
        <f t="shared" si="19"/>
        <v>-11.620109705274809</v>
      </c>
      <c r="Z79" s="159">
        <f t="shared" si="20"/>
        <v>-163.18786647944569</v>
      </c>
      <c r="AB79" s="159" t="str">
        <f t="shared" si="21"/>
        <v>14.0925876904237-0.046730790707549j</v>
      </c>
      <c r="AC79" s="159">
        <f t="shared" si="22"/>
        <v>22.979862671190606</v>
      </c>
      <c r="AD79" s="159">
        <f t="shared" si="23"/>
        <v>179.81000882690159</v>
      </c>
      <c r="AF79" s="159" t="str">
        <f t="shared" si="24"/>
        <v>11.2196837768176-0.717957757443119j</v>
      </c>
      <c r="AG79" s="159">
        <f t="shared" si="25"/>
        <v>21.01735966974665</v>
      </c>
      <c r="AH79" s="159">
        <f t="shared" si="26"/>
        <v>176.33858320707404</v>
      </c>
      <c r="AJ79" s="159" t="str">
        <f t="shared" si="27"/>
        <v>157490.660903294-1212.7738917219j</v>
      </c>
      <c r="AK79" s="159" t="str">
        <f t="shared" si="28"/>
        <v>30000-1.12829425752434E-06j</v>
      </c>
      <c r="AL79" s="159" t="str">
        <f t="shared" si="43"/>
        <v>10000-17725872.3658518j</v>
      </c>
      <c r="AM79" s="159" t="str">
        <f t="shared" si="44"/>
        <v>963.138974301772-5501133.17792095j</v>
      </c>
      <c r="AN79" s="159" t="str">
        <f t="shared" si="45"/>
        <v>10963.1389743018-5501133.17792095j</v>
      </c>
      <c r="AO79" s="159" t="str">
        <f t="shared" si="46"/>
        <v>29998.7818315568-163.593586466052j</v>
      </c>
      <c r="AP79" s="159" t="str">
        <f t="shared" si="47"/>
        <v>0.160001275171707+0.00103496018035148j</v>
      </c>
      <c r="AQ79" s="159" t="str">
        <f t="shared" si="29"/>
        <v>1+0.125240662585202j</v>
      </c>
      <c r="AR79" s="159">
        <f t="shared" si="30"/>
        <v>9.7644861326609536E-8</v>
      </c>
      <c r="AS79" s="159" t="str">
        <f t="shared" si="31"/>
        <v>3.41621174312362E-06j</v>
      </c>
      <c r="AT79" s="159" t="str">
        <f t="shared" si="32"/>
        <v>9.76448613266095E-08+3.41621174312362E-06j</v>
      </c>
      <c r="AU79" s="159" t="str">
        <f t="shared" si="33"/>
        <v>6.74861057665203-43.7153912244166j</v>
      </c>
      <c r="AW79" s="159" t="str">
        <f t="shared" si="48"/>
        <v>1.11893888909559-6.98850926514834j</v>
      </c>
      <c r="AX79" s="159">
        <f t="shared" si="34"/>
        <v>16.997621814142637</v>
      </c>
      <c r="AY79" s="159">
        <f t="shared" si="35"/>
        <v>99.096491343661043</v>
      </c>
      <c r="AZ79" s="159" t="str">
        <f t="shared" si="36"/>
        <v>15.4421658509775-98.5384685434826j</v>
      </c>
      <c r="BA79" s="159">
        <f t="shared" si="37"/>
        <v>39.977484485333264</v>
      </c>
      <c r="BB79" s="159">
        <f t="shared" si="38"/>
        <v>98.906500170562637</v>
      </c>
      <c r="BD79" s="159" t="str">
        <f t="shared" si="39"/>
        <v>7.53668606135979-79.2122148818557j</v>
      </c>
      <c r="BE79" s="159">
        <f t="shared" si="40"/>
        <v>38.014981483889329</v>
      </c>
      <c r="BF79" s="159">
        <f t="shared" si="41"/>
        <v>95.435074550735081</v>
      </c>
      <c r="BH79" s="159">
        <f t="shared" si="49"/>
        <v>-37.014981483889329</v>
      </c>
      <c r="BI79" s="169">
        <f t="shared" si="50"/>
        <v>-95.435074550735081</v>
      </c>
      <c r="BN79" s="165"/>
      <c r="BO79" s="165"/>
      <c r="BP79" s="165"/>
    </row>
    <row r="80" spans="1:68" s="159" customFormat="1">
      <c r="A80" s="159">
        <v>16</v>
      </c>
      <c r="B80" s="159">
        <f t="shared" si="42"/>
        <v>208.92961308540396</v>
      </c>
      <c r="C80" s="159" t="str">
        <f t="shared" si="0"/>
        <v>1312.74347517293j</v>
      </c>
      <c r="D80" s="159">
        <f t="shared" si="1"/>
        <v>0.99999930157466843</v>
      </c>
      <c r="E80" s="159" t="str">
        <f t="shared" si="2"/>
        <v>-0.00131274347517293j</v>
      </c>
      <c r="F80" s="159" t="str">
        <f t="shared" si="3"/>
        <v>0.999999301574668-0.00131274347517293j</v>
      </c>
      <c r="G80" s="159">
        <f t="shared" si="4"/>
        <v>1.4177335005877068E-6</v>
      </c>
      <c r="H80" s="159">
        <f t="shared" si="5"/>
        <v>-7.5214670036867132E-2</v>
      </c>
      <c r="J80" s="159">
        <f t="shared" si="6"/>
        <v>6.3936063936063938</v>
      </c>
      <c r="K80" s="159" t="str">
        <f t="shared" si="7"/>
        <v>1+0.321668097438999j</v>
      </c>
      <c r="L80" s="159">
        <f t="shared" si="8"/>
        <v>0.99898756995943816</v>
      </c>
      <c r="M80" s="159" t="str">
        <f t="shared" si="9"/>
        <v>0.00351495917643843j</v>
      </c>
      <c r="N80" s="159" t="str">
        <f t="shared" si="10"/>
        <v>0.998987569959438+0.00351495917643843j</v>
      </c>
      <c r="O80" s="159" t="str">
        <f t="shared" si="11"/>
        <v>1.00213399280294+0.318468063999929j</v>
      </c>
      <c r="P80" s="159" t="str">
        <f t="shared" si="12"/>
        <v>6.40725030363518+2.0361594501494j</v>
      </c>
      <c r="R80" s="159">
        <f t="shared" si="13"/>
        <v>31.968031968031973</v>
      </c>
      <c r="S80" s="159" t="str">
        <f t="shared" si="14"/>
        <v>1+0.0000459460216310525j</v>
      </c>
      <c r="T80" s="159" t="str">
        <f t="shared" si="15"/>
        <v>0.998987569959438+0.00351495917643843j</v>
      </c>
      <c r="U80" s="159" t="str">
        <f t="shared" si="16"/>
        <v>1.00100122553161-0.00347605168082162j</v>
      </c>
      <c r="V80" s="159" t="str">
        <f t="shared" si="17"/>
        <v>32.0000391778337-0.111122531255037j</v>
      </c>
      <c r="X80" s="159" t="str">
        <f t="shared" si="18"/>
        <v>0.251258653048969+0.0794844654169833j</v>
      </c>
      <c r="Y80" s="159">
        <f t="shared" si="19"/>
        <v>-11.583359357847263</v>
      </c>
      <c r="Z80" s="159">
        <f t="shared" si="20"/>
        <v>-162.44548351209372</v>
      </c>
      <c r="AB80" s="159" t="str">
        <f t="shared" si="21"/>
        <v>14.0938291908539-0.0489418767914719j</v>
      </c>
      <c r="AC80" s="159">
        <f t="shared" si="22"/>
        <v>22.980632446133423</v>
      </c>
      <c r="AD80" s="159">
        <f t="shared" si="23"/>
        <v>179.8010369167869</v>
      </c>
      <c r="AF80" s="159" t="str">
        <f t="shared" si="24"/>
        <v>11.2159777269808-0.751593500079097j</v>
      </c>
      <c r="AG80" s="159">
        <f t="shared" si="25"/>
        <v>21.016200969579661</v>
      </c>
      <c r="AH80" s="159">
        <f t="shared" si="26"/>
        <v>176.16628601411716</v>
      </c>
      <c r="AJ80" s="159" t="str">
        <f t="shared" si="27"/>
        <v>157489.759942671-1269.92289943267j</v>
      </c>
      <c r="AK80" s="159" t="str">
        <f t="shared" si="28"/>
        <v>30000-1.18146912765564E-06j</v>
      </c>
      <c r="AL80" s="159" t="str">
        <f t="shared" si="43"/>
        <v>10000-16928076.6901507j</v>
      </c>
      <c r="AM80" s="159" t="str">
        <f t="shared" si="44"/>
        <v>963.138960235892-5253541.43415674j</v>
      </c>
      <c r="AN80" s="159" t="str">
        <f t="shared" si="45"/>
        <v>10963.1389602359-5253541.43415674j</v>
      </c>
      <c r="AO80" s="159" t="str">
        <f t="shared" si="46"/>
        <v>29998.6643120256-171.302597212512j</v>
      </c>
      <c r="AP80" s="159" t="str">
        <f t="shared" si="47"/>
        <v>0.160001398197768+0.00108373619221812j</v>
      </c>
      <c r="AQ80" s="159" t="str">
        <f t="shared" si="29"/>
        <v>1+0.131143073169776j</v>
      </c>
      <c r="AR80" s="159">
        <f t="shared" si="30"/>
        <v>9.7417641795733761E-8</v>
      </c>
      <c r="AS80" s="159" t="str">
        <f t="shared" si="31"/>
        <v>3.57721284241148E-06j</v>
      </c>
      <c r="AT80" s="159" t="str">
        <f t="shared" si="32"/>
        <v>9.74176417957338E-08+3.57721284241148E-06j</v>
      </c>
      <c r="AU80" s="159" t="str">
        <f t="shared" si="33"/>
        <v>6.63611077198456-41.7513668650522j</v>
      </c>
      <c r="AW80" s="159" t="str">
        <f t="shared" si="48"/>
        <v>1.10094326845564-6.67409029782467j</v>
      </c>
      <c r="AX80" s="159">
        <f t="shared" si="34"/>
        <v>16.604438501964079</v>
      </c>
      <c r="AY80" s="159">
        <f t="shared" si="35"/>
        <v>99.367031413927563</v>
      </c>
      <c r="AZ80" s="159" t="str">
        <f t="shared" si="36"/>
        <v>15.1898638693829-94.1173708916751j</v>
      </c>
      <c r="BA80" s="159">
        <f t="shared" si="37"/>
        <v>39.585070948097481</v>
      </c>
      <c r="BB80" s="159">
        <f t="shared" si="38"/>
        <v>99.168068330714476</v>
      </c>
      <c r="BD80" s="159" t="str">
        <f t="shared" si="39"/>
        <v>7.33195229088191-75.683909932787j</v>
      </c>
      <c r="BE80" s="159">
        <f t="shared" si="40"/>
        <v>37.620639471543711</v>
      </c>
      <c r="BF80" s="159">
        <f t="shared" si="41"/>
        <v>95.533317428044739</v>
      </c>
      <c r="BH80" s="159">
        <f t="shared" si="49"/>
        <v>-36.620639471543711</v>
      </c>
      <c r="BI80" s="169">
        <f t="shared" si="50"/>
        <v>-95.533317428044739</v>
      </c>
      <c r="BN80" s="165"/>
      <c r="BO80" s="165"/>
      <c r="BP80" s="165"/>
    </row>
    <row r="81" spans="1:68" s="159" customFormat="1">
      <c r="A81" s="159">
        <v>17</v>
      </c>
      <c r="B81" s="159">
        <f t="shared" si="42"/>
        <v>218.77616239495526</v>
      </c>
      <c r="C81" s="159" t="str">
        <f t="shared" si="0"/>
        <v>1374.61116912112j</v>
      </c>
      <c r="D81" s="159">
        <f t="shared" si="1"/>
        <v>0.99999923419185233</v>
      </c>
      <c r="E81" s="159" t="str">
        <f t="shared" si="2"/>
        <v>-0.00137461116912112j</v>
      </c>
      <c r="F81" s="159" t="str">
        <f t="shared" si="3"/>
        <v>0.999999234191852-0.00137461116912112j</v>
      </c>
      <c r="G81" s="159">
        <f t="shared" si="4"/>
        <v>1.5545140727006114E-6</v>
      </c>
      <c r="H81" s="159">
        <f t="shared" si="5"/>
        <v>-7.8759429170003142E-2</v>
      </c>
      <c r="J81" s="159">
        <f t="shared" si="6"/>
        <v>6.3936063936063938</v>
      </c>
      <c r="K81" s="159" t="str">
        <f t="shared" si="7"/>
        <v>1+0.336827847825594j</v>
      </c>
      <c r="L81" s="159">
        <f t="shared" si="8"/>
        <v>0.99888989253540361</v>
      </c>
      <c r="M81" s="159" t="str">
        <f t="shared" si="9"/>
        <v>0.00368061409888215j</v>
      </c>
      <c r="N81" s="159" t="str">
        <f t="shared" si="10"/>
        <v>0.998889892535404+0.00368061409888215j</v>
      </c>
      <c r="O81" s="159" t="str">
        <f t="shared" si="11"/>
        <v>1.00234022274218+0.333508850934824j</v>
      </c>
      <c r="P81" s="159" t="str">
        <f t="shared" si="12"/>
        <v>6.40856885669326+2.13232432166121j</v>
      </c>
      <c r="R81" s="159">
        <f t="shared" si="13"/>
        <v>31.968031968031973</v>
      </c>
      <c r="S81" s="159" t="str">
        <f t="shared" si="14"/>
        <v>1+0.0000481113909192392j</v>
      </c>
      <c r="T81" s="159" t="str">
        <f t="shared" si="15"/>
        <v>0.998889892535404+0.00368061409888215j</v>
      </c>
      <c r="U81" s="159" t="str">
        <f t="shared" si="16"/>
        <v>1.00109792669202-0.0036405851932236j</v>
      </c>
      <c r="V81" s="159" t="str">
        <f t="shared" si="17"/>
        <v>32.003130523621-0.116382343839316j</v>
      </c>
      <c r="X81" s="159" t="str">
        <f t="shared" si="18"/>
        <v>0.251320440808241+0.0832383582717211j</v>
      </c>
      <c r="Y81" s="159">
        <f t="shared" si="19"/>
        <v>-11.543402950573391</v>
      </c>
      <c r="Z81" s="159">
        <f t="shared" si="20"/>
        <v>-161.67491813637278</v>
      </c>
      <c r="AB81" s="159" t="str">
        <f t="shared" si="21"/>
        <v>14.0951907172962-0.0512584645845919j</v>
      </c>
      <c r="AC81" s="159">
        <f t="shared" si="22"/>
        <v>22.981476565023861</v>
      </c>
      <c r="AD81" s="159">
        <f t="shared" si="23"/>
        <v>179.79163951751985</v>
      </c>
      <c r="AF81" s="159" t="str">
        <f t="shared" si="24"/>
        <v>11.2119162927639-0.786784853636938j</v>
      </c>
      <c r="AG81" s="159">
        <f t="shared" si="25"/>
        <v>21.014930795295378</v>
      </c>
      <c r="AH81" s="159">
        <f t="shared" si="26"/>
        <v>175.9859071412985</v>
      </c>
      <c r="AJ81" s="159" t="str">
        <f t="shared" si="27"/>
        <v>157488.772070841-1329.7641806752j</v>
      </c>
      <c r="AK81" s="159" t="str">
        <f t="shared" si="28"/>
        <v>30000-1.23715005220901E-06j</v>
      </c>
      <c r="AL81" s="159" t="str">
        <f t="shared" si="43"/>
        <v>10000-16166187.7346962j</v>
      </c>
      <c r="AM81" s="159" t="str">
        <f t="shared" si="44"/>
        <v>963.13894481297-5017093.15612895j</v>
      </c>
      <c r="AN81" s="159" t="str">
        <f t="shared" si="45"/>
        <v>10963.138944813-5017093.15612895j</v>
      </c>
      <c r="AO81" s="159" t="str">
        <f t="shared" si="46"/>
        <v>29998.5354558708-179.374786530053j</v>
      </c>
      <c r="AP81" s="159" t="str">
        <f t="shared" si="47"/>
        <v>0.16000153309312+0.00113481092318826j</v>
      </c>
      <c r="AQ81" s="159" t="str">
        <f t="shared" si="29"/>
        <v>1+0.1373236557952j</v>
      </c>
      <c r="AR81" s="159">
        <f t="shared" si="30"/>
        <v>9.7168500534390612E-8</v>
      </c>
      <c r="AS81" s="159" t="str">
        <f t="shared" si="31"/>
        <v>3.74580168974336E-06j</v>
      </c>
      <c r="AT81" s="159" t="str">
        <f t="shared" si="32"/>
        <v>9.71685005343906E-08+3.74580168974336E-06j</v>
      </c>
      <c r="AU81" s="159" t="str">
        <f t="shared" si="33"/>
        <v>6.53349490394961-39.8753491157637j</v>
      </c>
      <c r="AW81" s="159" t="str">
        <f t="shared" si="48"/>
        <v>1.08452895351879-6.37373940401725j</v>
      </c>
      <c r="AX81" s="159">
        <f t="shared" si="34"/>
        <v>16.211841472271999</v>
      </c>
      <c r="AY81" s="159">
        <f t="shared" si="35"/>
        <v>99.656723016760111</v>
      </c>
      <c r="AZ81" s="159" t="str">
        <f t="shared" si="36"/>
        <v>14.9599343427648-89.8946637709238j</v>
      </c>
      <c r="BA81" s="159">
        <f t="shared" si="37"/>
        <v>39.193318037295853</v>
      </c>
      <c r="BB81" s="159">
        <f t="shared" si="38"/>
        <v>99.448362534280008</v>
      </c>
      <c r="BD81" s="159" t="str">
        <f t="shared" si="39"/>
        <v>7.14488621982182-72.3151236236915j</v>
      </c>
      <c r="BE81" s="159">
        <f t="shared" si="40"/>
        <v>37.226772267567362</v>
      </c>
      <c r="BF81" s="159">
        <f t="shared" si="41"/>
        <v>95.642630158058637</v>
      </c>
      <c r="BH81" s="159">
        <f t="shared" si="49"/>
        <v>-36.226772267567362</v>
      </c>
      <c r="BI81" s="169">
        <f t="shared" si="50"/>
        <v>-95.642630158058637</v>
      </c>
      <c r="BN81" s="165"/>
      <c r="BO81" s="165"/>
      <c r="BP81" s="165"/>
    </row>
    <row r="82" spans="1:68" s="159" customFormat="1">
      <c r="A82" s="159">
        <v>18</v>
      </c>
      <c r="B82" s="159">
        <f t="shared" si="42"/>
        <v>229.08676527677733</v>
      </c>
      <c r="C82" s="159" t="str">
        <f t="shared" si="0"/>
        <v>1439.39459765635j</v>
      </c>
      <c r="D82" s="159">
        <f t="shared" si="1"/>
        <v>0.99999916030806357</v>
      </c>
      <c r="E82" s="159" t="str">
        <f t="shared" si="2"/>
        <v>-0.00143939459765635j</v>
      </c>
      <c r="F82" s="159" t="str">
        <f t="shared" si="3"/>
        <v>0.999999160308064-0.00143939459765635j</v>
      </c>
      <c r="G82" s="159">
        <f t="shared" si="4"/>
        <v>1.7044910294410561E-6</v>
      </c>
      <c r="H82" s="159">
        <f t="shared" si="5"/>
        <v>-8.2471247793860045E-2</v>
      </c>
      <c r="J82" s="159">
        <f t="shared" si="6"/>
        <v>6.3936063936063938</v>
      </c>
      <c r="K82" s="159" t="str">
        <f t="shared" si="7"/>
        <v>1+0.352702055236724j</v>
      </c>
      <c r="L82" s="159">
        <f t="shared" si="8"/>
        <v>0.99878279136969428</v>
      </c>
      <c r="M82" s="159" t="str">
        <f t="shared" si="9"/>
        <v>0.00385407609729815j</v>
      </c>
      <c r="N82" s="159" t="str">
        <f t="shared" si="10"/>
        <v>0.998782791369694+0.00385407609729815j</v>
      </c>
      <c r="O82" s="159" t="str">
        <f t="shared" si="11"/>
        <v>1.00256641950364+0.349263214161887j</v>
      </c>
      <c r="P82" s="159" t="str">
        <f t="shared" si="12"/>
        <v>6.41001506975354+2.23305151911696j</v>
      </c>
      <c r="R82" s="159">
        <f t="shared" si="13"/>
        <v>31.968031968031973</v>
      </c>
      <c r="S82" s="159" t="str">
        <f t="shared" si="14"/>
        <v>1+0.0000503788109179722j</v>
      </c>
      <c r="T82" s="159" t="str">
        <f t="shared" si="15"/>
        <v>0.998782791369694+0.00385407609729815j</v>
      </c>
      <c r="U82" s="159" t="str">
        <f t="shared" si="16"/>
        <v>1.00120397861339-0.00381297870215914j</v>
      </c>
      <c r="V82" s="159" t="str">
        <f t="shared" si="17"/>
        <v>32.0065207948336-0.121893425044048j</v>
      </c>
      <c r="X82" s="159" t="str">
        <f t="shared" si="18"/>
        <v>0.251388209528806+0.0871703396455223j</v>
      </c>
      <c r="Y82" s="159">
        <f t="shared" si="19"/>
        <v>-11.499992542476352</v>
      </c>
      <c r="Z82" s="159">
        <f t="shared" si="20"/>
        <v>-160.87571067354011</v>
      </c>
      <c r="AB82" s="159" t="str">
        <f t="shared" si="21"/>
        <v>14.0966838999487-0.0536857190240247j</v>
      </c>
      <c r="AC82" s="159">
        <f t="shared" si="22"/>
        <v>22.982402216114977</v>
      </c>
      <c r="AD82" s="159">
        <f t="shared" si="23"/>
        <v>179.78179618192198</v>
      </c>
      <c r="AF82" s="159" t="str">
        <f t="shared" si="24"/>
        <v>11.2074656238007-0.823600778853689j</v>
      </c>
      <c r="AG82" s="159">
        <f t="shared" si="25"/>
        <v>21.013538455614665</v>
      </c>
      <c r="AH82" s="159">
        <f t="shared" si="26"/>
        <v>175.79707138135544</v>
      </c>
      <c r="AJ82" s="159" t="str">
        <f t="shared" si="27"/>
        <v>157487.688905162-1392.42445897141j</v>
      </c>
      <c r="AK82" s="159" t="str">
        <f t="shared" si="28"/>
        <v>30000-1.29545513789071E-06j</v>
      </c>
      <c r="AL82" s="159" t="str">
        <f t="shared" si="43"/>
        <v>9999.99999999999-15438589.4308655j</v>
      </c>
      <c r="AM82" s="159" t="str">
        <f t="shared" si="44"/>
        <v>963.138927902064-4791286.8053387j</v>
      </c>
      <c r="AN82" s="159" t="str">
        <f t="shared" si="45"/>
        <v>10963.1389279021-4791286.8053387j</v>
      </c>
      <c r="AO82" s="159" t="str">
        <f t="shared" si="46"/>
        <v>29998.3941696482-187.827250364579j</v>
      </c>
      <c r="AP82" s="159" t="str">
        <f t="shared" si="47"/>
        <v>0.160001681002883+0.00118829270507181j</v>
      </c>
      <c r="AQ82" s="159" t="str">
        <f t="shared" si="29"/>
        <v>1+0.143795520305869j</v>
      </c>
      <c r="AR82" s="159">
        <f t="shared" si="30"/>
        <v>9.68953225735682E-8</v>
      </c>
      <c r="AS82" s="159" t="str">
        <f t="shared" si="31"/>
        <v>3.92233588466758E-06j</v>
      </c>
      <c r="AT82" s="159" t="str">
        <f t="shared" si="32"/>
        <v>9.68953225735682E-08+3.92233588466758E-06j</v>
      </c>
      <c r="AU82" s="159" t="str">
        <f t="shared" si="33"/>
        <v>6.43989577286826-38.083430030982j</v>
      </c>
      <c r="AW82" s="159" t="str">
        <f t="shared" si="48"/>
        <v>1.06955722809087-6.08683091175869j</v>
      </c>
      <c r="AX82" s="159">
        <f t="shared" si="34"/>
        <v>15.81989040040953</v>
      </c>
      <c r="AY82" s="159">
        <f t="shared" si="35"/>
        <v>99.966078725680916</v>
      </c>
      <c r="AZ82" s="159" t="str">
        <f t="shared" si="36"/>
        <v>14.7504342632269-85.8615512643264j</v>
      </c>
      <c r="BA82" s="159">
        <f t="shared" si="37"/>
        <v>38.802292616524532</v>
      </c>
      <c r="BB82" s="159">
        <f t="shared" si="38"/>
        <v>99.747874907602863</v>
      </c>
      <c r="BD82" s="159" t="str">
        <f t="shared" si="39"/>
        <v>6.97390718684086-69.0988363675077j</v>
      </c>
      <c r="BE82" s="159">
        <f t="shared" si="40"/>
        <v>36.833428856024256</v>
      </c>
      <c r="BF82" s="159">
        <f t="shared" si="41"/>
        <v>95.763150107036353</v>
      </c>
      <c r="BH82" s="159">
        <f t="shared" si="49"/>
        <v>-35.833428856024256</v>
      </c>
      <c r="BI82" s="169">
        <f t="shared" si="50"/>
        <v>-95.763150107036353</v>
      </c>
      <c r="BN82" s="165"/>
      <c r="BO82" s="165"/>
      <c r="BP82" s="165"/>
    </row>
    <row r="83" spans="1:68" s="159" customFormat="1">
      <c r="A83" s="159">
        <v>19</v>
      </c>
      <c r="B83" s="159">
        <f t="shared" si="42"/>
        <v>239.88329190194909</v>
      </c>
      <c r="C83" s="159" t="str">
        <f t="shared" si="0"/>
        <v>1507.2311751162j</v>
      </c>
      <c r="D83" s="159">
        <f t="shared" si="1"/>
        <v>0.99999907929610021</v>
      </c>
      <c r="E83" s="159" t="str">
        <f t="shared" si="2"/>
        <v>-0.0015072311751162j</v>
      </c>
      <c r="F83" s="159" t="str">
        <f t="shared" si="3"/>
        <v>0.9999990792961-0.0015072311751162j</v>
      </c>
      <c r="G83" s="159">
        <f t="shared" si="4"/>
        <v>1.8689375328326048E-6</v>
      </c>
      <c r="H83" s="159">
        <f t="shared" si="5"/>
        <v>-8.6357999200353391E-2</v>
      </c>
      <c r="J83" s="159">
        <f t="shared" si="6"/>
        <v>6.3936063936063938</v>
      </c>
      <c r="K83" s="159" t="str">
        <f t="shared" si="7"/>
        <v>1+0.369324390994598j</v>
      </c>
      <c r="L83" s="159">
        <f t="shared" si="8"/>
        <v>0.99866535727671246</v>
      </c>
      <c r="M83" s="159" t="str">
        <f t="shared" si="9"/>
        <v>0.00403571310784148j</v>
      </c>
      <c r="N83" s="159" t="str">
        <f t="shared" si="10"/>
        <v>0.998665357276712+0.00403571310784148j</v>
      </c>
      <c r="O83" s="159" t="str">
        <f t="shared" si="11"/>
        <v>1.00281452367114+0.365765485520364j</v>
      </c>
      <c r="P83" s="159" t="str">
        <f t="shared" si="12"/>
        <v>6.41160135014515+2.33856054678355j</v>
      </c>
      <c r="R83" s="159">
        <f t="shared" si="13"/>
        <v>31.968031968031973</v>
      </c>
      <c r="S83" s="159" t="str">
        <f t="shared" si="14"/>
        <v>1+0.000052753091129067j</v>
      </c>
      <c r="T83" s="159" t="str">
        <f t="shared" si="15"/>
        <v>0.998665357276712+0.00403571310784148j</v>
      </c>
      <c r="U83" s="159" t="str">
        <f t="shared" si="16"/>
        <v>1.00132028773769-0.00399361837294259j</v>
      </c>
      <c r="V83" s="159" t="str">
        <f t="shared" si="17"/>
        <v>32.0102389686375-0.127668119814349j</v>
      </c>
      <c r="X83" s="159" t="str">
        <f t="shared" si="18"/>
        <v>0.251462540255654+0.0912889768385685j</v>
      </c>
      <c r="Y83" s="159">
        <f t="shared" si="19"/>
        <v>-11.452866629177336</v>
      </c>
      <c r="Z83" s="159">
        <f t="shared" si="20"/>
        <v>-160.04747719068988</v>
      </c>
      <c r="AB83" s="159" t="str">
        <f t="shared" si="21"/>
        <v>14.0983215012717-0.0562290772139833j</v>
      </c>
      <c r="AC83" s="159">
        <f t="shared" si="22"/>
        <v>22.983417284347215</v>
      </c>
      <c r="AD83" s="159">
        <f t="shared" si="23"/>
        <v>179.77148544046696</v>
      </c>
      <c r="AF83" s="159" t="str">
        <f t="shared" si="24"/>
        <v>11.2025886915035-0.862112849645707j</v>
      </c>
      <c r="AG83" s="159">
        <f t="shared" si="25"/>
        <v>21.012012240569696</v>
      </c>
      <c r="AH83" s="159">
        <f t="shared" si="26"/>
        <v>175.59938667799119</v>
      </c>
      <c r="AJ83" s="159" t="str">
        <f t="shared" si="27"/>
        <v>157486.501254737-1458.03640652673j</v>
      </c>
      <c r="AK83" s="159" t="str">
        <f t="shared" si="28"/>
        <v>30000-1.35650805760458E-06j</v>
      </c>
      <c r="AL83" s="159" t="str">
        <f t="shared" si="43"/>
        <v>10000-14743738.4451055j</v>
      </c>
      <c r="AM83" s="159" t="str">
        <f t="shared" si="44"/>
        <v>963.138909359631-4575643.41624159j</v>
      </c>
      <c r="AN83" s="159" t="str">
        <f t="shared" si="45"/>
        <v>10963.1389093596-4575643.41624159j</v>
      </c>
      <c r="AO83" s="159" t="str">
        <f t="shared" si="46"/>
        <v>29998.2392544799-196.677887387147j</v>
      </c>
      <c r="AP83" s="159" t="str">
        <f t="shared" si="47"/>
        <v>0.160001843182653+0.00124429497468331j</v>
      </c>
      <c r="AQ83" s="159" t="str">
        <f t="shared" si="29"/>
        <v>1+0.150572394394108j</v>
      </c>
      <c r="AR83" s="159">
        <f t="shared" si="30"/>
        <v>9.6595788895859618E-8</v>
      </c>
      <c r="AS83" s="159" t="str">
        <f t="shared" si="31"/>
        <v>4.10718987987989E-06j</v>
      </c>
      <c r="AT83" s="159" t="str">
        <f t="shared" si="32"/>
        <v>9.65957888958596E-08+4.10718987987989E-06j</v>
      </c>
      <c r="AU83" s="159" t="str">
        <f t="shared" si="33"/>
        <v>6.35452206550503-36.3718708647565j</v>
      </c>
      <c r="AW83" s="159" t="str">
        <f t="shared" si="48"/>
        <v>1.05590151707535-5.81276619288237j</v>
      </c>
      <c r="AX83" s="159">
        <f t="shared" si="34"/>
        <v>15.428649823776093</v>
      </c>
      <c r="AY83" s="159">
        <f t="shared" si="35"/>
        <v>100.29563807909574</v>
      </c>
      <c r="AZ83" s="159" t="str">
        <f t="shared" si="36"/>
        <v>14.5595925823225-82.009618966913j</v>
      </c>
      <c r="BA83" s="159">
        <f t="shared" si="37"/>
        <v>38.412067108123331</v>
      </c>
      <c r="BB83" s="159">
        <f t="shared" si="38"/>
        <v>100.06712351956274</v>
      </c>
      <c r="BD83" s="159" t="str">
        <f t="shared" si="39"/>
        <v>6.8175699676597-66.028335084569j</v>
      </c>
      <c r="BE83" s="159">
        <f t="shared" si="40"/>
        <v>36.440662064345794</v>
      </c>
      <c r="BF83" s="159">
        <f t="shared" si="41"/>
        <v>95.895024757086972</v>
      </c>
      <c r="BH83" s="159">
        <f t="shared" si="49"/>
        <v>-35.440662064345794</v>
      </c>
      <c r="BI83" s="169">
        <f t="shared" si="50"/>
        <v>-95.895024757086972</v>
      </c>
      <c r="BN83" s="165"/>
      <c r="BO83" s="165"/>
      <c r="BP83" s="165"/>
    </row>
    <row r="84" spans="1:68" s="159" customFormat="1">
      <c r="A84" s="159">
        <v>20</v>
      </c>
      <c r="B84" s="159">
        <f t="shared" si="42"/>
        <v>251.18864315095806</v>
      </c>
      <c r="C84" s="159" t="str">
        <f t="shared" si="0"/>
        <v>1578.26479197648j</v>
      </c>
      <c r="D84" s="159">
        <f t="shared" si="1"/>
        <v>0.99999899046824881</v>
      </c>
      <c r="E84" s="159" t="str">
        <f t="shared" si="2"/>
        <v>-0.00157826479197648j</v>
      </c>
      <c r="F84" s="159" t="str">
        <f t="shared" si="3"/>
        <v>0.999998990468249-0.00157826479197648j</v>
      </c>
      <c r="G84" s="159">
        <f t="shared" si="4"/>
        <v>2.0492496058103641E-6</v>
      </c>
      <c r="H84" s="159">
        <f t="shared" si="5"/>
        <v>-9.0427927741279626E-2</v>
      </c>
      <c r="J84" s="159">
        <f t="shared" si="6"/>
        <v>6.3936063936063938</v>
      </c>
      <c r="K84" s="159" t="str">
        <f t="shared" si="7"/>
        <v>1+0.386730113301957j</v>
      </c>
      <c r="L84" s="159">
        <f t="shared" si="8"/>
        <v>0.99853659335427403</v>
      </c>
      <c r="M84" s="159" t="str">
        <f t="shared" si="9"/>
        <v>0.00422591040696404j</v>
      </c>
      <c r="N84" s="159" t="str">
        <f t="shared" si="10"/>
        <v>0.998536593354274+0.00422591040696404j</v>
      </c>
      <c r="O84" s="159" t="str">
        <f t="shared" si="11"/>
        <v>1.0030866659404+0.383051719353031j</v>
      </c>
      <c r="P84" s="159" t="str">
        <f t="shared" si="12"/>
        <v>6.41334132069786+2.44908192193746j</v>
      </c>
      <c r="R84" s="159">
        <f t="shared" si="13"/>
        <v>31.968031968031973</v>
      </c>
      <c r="S84" s="159" t="str">
        <f t="shared" si="14"/>
        <v>1+0.0000552392677191768j</v>
      </c>
      <c r="T84" s="159" t="str">
        <f t="shared" si="15"/>
        <v>0.998536593354274+0.00422591040696404j</v>
      </c>
      <c r="U84" s="159" t="str">
        <f t="shared" si="16"/>
        <v>1.00144784883055-0.00418291091832193j</v>
      </c>
      <c r="V84" s="159" t="str">
        <f t="shared" si="17"/>
        <v>32.0143168457319-0.133719429956345j</v>
      </c>
      <c r="X84" s="159" t="str">
        <f t="shared" si="18"/>
        <v>0.251544070906701+0.0956032668508452j</v>
      </c>
      <c r="Y84" s="159">
        <f t="shared" si="19"/>
        <v>-11.40175037944941</v>
      </c>
      <c r="Z84" s="159">
        <f t="shared" si="20"/>
        <v>-159.18992101001766</v>
      </c>
      <c r="AB84" s="159" t="str">
        <f t="shared" si="21"/>
        <v>14.1001175272988-0.0588942655610416j</v>
      </c>
      <c r="AC84" s="159">
        <f t="shared" si="22"/>
        <v>22.984530419208266</v>
      </c>
      <c r="AD84" s="159">
        <f t="shared" si="23"/>
        <v>179.76068474433552</v>
      </c>
      <c r="AF84" s="159" t="str">
        <f t="shared" si="24"/>
        <v>11.1972449999356-0.90239528398387j</v>
      </c>
      <c r="AG84" s="159">
        <f t="shared" si="25"/>
        <v>21.010339325787353</v>
      </c>
      <c r="AH84" s="159">
        <f t="shared" si="26"/>
        <v>175.39244345376565</v>
      </c>
      <c r="AJ84" s="159" t="str">
        <f t="shared" si="27"/>
        <v>157485.19904253-1526.73892108654j</v>
      </c>
      <c r="AK84" s="159" t="str">
        <f t="shared" si="28"/>
        <v>30000-1.42043831277883E-06j</v>
      </c>
      <c r="AL84" s="159" t="str">
        <f t="shared" si="43"/>
        <v>10000-14080160.9053149j</v>
      </c>
      <c r="AM84" s="159" t="str">
        <f t="shared" si="44"/>
        <v>963.138889028259-4369705.58029752j</v>
      </c>
      <c r="AN84" s="159" t="str">
        <f t="shared" si="45"/>
        <v>10963.1388890283-4369705.58029752j</v>
      </c>
      <c r="AO84" s="159" t="str">
        <f t="shared" si="46"/>
        <v>29998.0693958926-205.945436383643j</v>
      </c>
      <c r="AP84" s="159" t="str">
        <f t="shared" si="47"/>
        <v>0.160002021009163+0.00130293651435715j</v>
      </c>
      <c r="AQ84" s="159" t="str">
        <f t="shared" si="29"/>
        <v>1+0.15766865271845j</v>
      </c>
      <c r="AR84" s="159">
        <f t="shared" si="30"/>
        <v>9.6267356749241543E-8</v>
      </c>
      <c r="AS84" s="159" t="str">
        <f t="shared" si="31"/>
        <v>4.30075577548799E-06j</v>
      </c>
      <c r="AT84" s="159" t="str">
        <f t="shared" si="32"/>
        <v>9.62673567492415E-08+4.30075577548799E-06j</v>
      </c>
      <c r="AU84" s="159" t="str">
        <f t="shared" si="33"/>
        <v>6.27665174789839-34.737095321355j</v>
      </c>
      <c r="AW84" s="159" t="str">
        <f t="shared" si="48"/>
        <v>1.04344632962069-5.55097258217996j</v>
      </c>
      <c r="AX84" s="159">
        <f t="shared" si="34"/>
        <v>15.038189568982812</v>
      </c>
      <c r="AY84" s="159">
        <f t="shared" si="35"/>
        <v>100.64596672383924</v>
      </c>
      <c r="AZ84" s="159" t="str">
        <f t="shared" si="36"/>
        <v>14.3857954277033-78.3308188047861j</v>
      </c>
      <c r="BA84" s="159">
        <f t="shared" si="37"/>
        <v>38.022719988191085</v>
      </c>
      <c r="BB84" s="159">
        <f t="shared" si="38"/>
        <v>100.40665146817474</v>
      </c>
      <c r="BD84" s="159" t="str">
        <f t="shared" si="39"/>
        <v>6.67455271736349-63.0972010375344j</v>
      </c>
      <c r="BE84" s="159">
        <f t="shared" si="40"/>
        <v>36.0485288947702</v>
      </c>
      <c r="BF84" s="159">
        <f t="shared" si="41"/>
        <v>96.038410177604888</v>
      </c>
      <c r="BH84" s="159">
        <f t="shared" si="49"/>
        <v>-35.0485288947702</v>
      </c>
      <c r="BI84" s="169">
        <f t="shared" si="50"/>
        <v>-96.038410177604888</v>
      </c>
      <c r="BN84" s="165"/>
      <c r="BO84" s="165"/>
      <c r="BP84" s="165"/>
    </row>
    <row r="85" spans="1:68" s="159" customFormat="1">
      <c r="A85" s="159">
        <v>21</v>
      </c>
      <c r="B85" s="159">
        <f t="shared" si="42"/>
        <v>263.02679918953822</v>
      </c>
      <c r="C85" s="159" t="str">
        <f t="shared" si="0"/>
        <v>1652.64612006218j</v>
      </c>
      <c r="D85" s="159">
        <f t="shared" si="1"/>
        <v>0.99999889307044654</v>
      </c>
      <c r="E85" s="159" t="str">
        <f t="shared" si="2"/>
        <v>-0.00165264612006218j</v>
      </c>
      <c r="F85" s="159" t="str">
        <f t="shared" si="3"/>
        <v>0.999998893070447-0.00165264612006218j</v>
      </c>
      <c r="G85" s="159">
        <f t="shared" si="4"/>
        <v>2.2469579316927063E-6</v>
      </c>
      <c r="H85" s="159">
        <f t="shared" si="5"/>
        <v>-9.4689666316281576E-2</v>
      </c>
      <c r="J85" s="159">
        <f t="shared" si="6"/>
        <v>6.3936063936063938</v>
      </c>
      <c r="K85" s="159" t="str">
        <f t="shared" si="7"/>
        <v>1+0.404956142029436j</v>
      </c>
      <c r="L85" s="159">
        <f t="shared" si="8"/>
        <v>0.99839540652087044</v>
      </c>
      <c r="M85" s="159" t="str">
        <f t="shared" si="9"/>
        <v>0.00442507142863742j</v>
      </c>
      <c r="N85" s="159" t="str">
        <f t="shared" si="10"/>
        <v>0.99839540652087+0.00442507142863742j</v>
      </c>
      <c r="O85" s="159" t="str">
        <f t="shared" si="11"/>
        <v>1.00338518604851+0.401159789292723j</v>
      </c>
      <c r="P85" s="159" t="str">
        <f t="shared" si="12"/>
        <v>6.41524994076969+2.56485779367975j</v>
      </c>
      <c r="R85" s="159">
        <f t="shared" si="13"/>
        <v>31.968031968031973</v>
      </c>
      <c r="S85" s="159" t="str">
        <f t="shared" si="14"/>
        <v>1+0.0000578426142021763j</v>
      </c>
      <c r="T85" s="159" t="str">
        <f t="shared" si="15"/>
        <v>0.99839540652087+0.00442507142863742j</v>
      </c>
      <c r="U85" s="159" t="str">
        <f t="shared" si="16"/>
        <v>1.00158775367961-0.00438128491909j</v>
      </c>
      <c r="V85" s="159" t="str">
        <f t="shared" si="17"/>
        <v>32.0187893284191-0.140061056354526j</v>
      </c>
      <c r="X85" s="159" t="str">
        <f t="shared" si="18"/>
        <v>0.251633501925604+0.100122660506881j</v>
      </c>
      <c r="Y85" s="159">
        <f t="shared" si="19"/>
        <v>-11.346356071147829</v>
      </c>
      <c r="Z85" s="159">
        <f t="shared" si="20"/>
        <v>-158.30284475123108</v>
      </c>
      <c r="AB85" s="159" t="str">
        <f t="shared" si="21"/>
        <v>14.1020873501075-0.0616873183679921j</v>
      </c>
      <c r="AC85" s="159">
        <f t="shared" si="22"/>
        <v>22.985751109270151</v>
      </c>
      <c r="AD85" s="159">
        <f t="shared" si="23"/>
        <v>179.74937040447062</v>
      </c>
      <c r="AF85" s="159" t="str">
        <f t="shared" si="24"/>
        <v>11.191390272263-0.944524963081455j</v>
      </c>
      <c r="AG85" s="159">
        <f t="shared" si="25"/>
        <v>21.008505668051694</v>
      </c>
      <c r="AH85" s="159">
        <f t="shared" si="26"/>
        <v>175.17581392397236</v>
      </c>
      <c r="AJ85" s="159" t="str">
        <f t="shared" si="27"/>
        <v>157483.77121999-1598.67741532268j</v>
      </c>
      <c r="AK85" s="159" t="str">
        <f t="shared" si="28"/>
        <v>30000-1.48738150805596E-06j</v>
      </c>
      <c r="AL85" s="159" t="str">
        <f t="shared" si="43"/>
        <v>10000-13446449.2745647j</v>
      </c>
      <c r="AM85" s="159" t="str">
        <f t="shared" si="44"/>
        <v>963.138866735346-4173036.47574591j</v>
      </c>
      <c r="AN85" s="159" t="str">
        <f t="shared" si="45"/>
        <v>10963.1388667353-4173036.47574591j</v>
      </c>
      <c r="AO85" s="159" t="str">
        <f t="shared" si="46"/>
        <v>29997.883152682-215.649515341242j</v>
      </c>
      <c r="AP85" s="159" t="str">
        <f t="shared" si="47"/>
        <v>0.160002215991967+0.00136434170378619j</v>
      </c>
      <c r="AQ85" s="159" t="str">
        <f t="shared" si="29"/>
        <v>1+0.165099347394212j</v>
      </c>
      <c r="AR85" s="159">
        <f t="shared" si="30"/>
        <v>9.5907238061562357E-8</v>
      </c>
      <c r="AS85" s="159" t="str">
        <f t="shared" si="31"/>
        <v>4.50344415070824E-06j</v>
      </c>
      <c r="AT85" s="159" t="str">
        <f t="shared" si="32"/>
        <v>9.59072380615624E-08+4.50344415070824E-06j</v>
      </c>
      <c r="AU85" s="159" t="str">
        <f t="shared" si="33"/>
        <v>6.20562602779674-33.1756829989186j</v>
      </c>
      <c r="AW85" s="159" t="str">
        <f t="shared" si="48"/>
        <v>1.03208629340109-5.30090232738975j</v>
      </c>
      <c r="AX85" s="159">
        <f t="shared" si="34"/>
        <v>14.648585201191802</v>
      </c>
      <c r="AY85" s="159">
        <f t="shared" si="35"/>
        <v>101.01765535058911</v>
      </c>
      <c r="AZ85" s="159" t="str">
        <f t="shared" si="36"/>
        <v>14.2275726128835-74.8174542910027j</v>
      </c>
      <c r="BA85" s="159">
        <f t="shared" si="37"/>
        <v>37.634336310461961</v>
      </c>
      <c r="BB85" s="159">
        <f t="shared" si="38"/>
        <v>100.76702575505969</v>
      </c>
      <c r="BD85" s="159" t="str">
        <f t="shared" si="39"/>
        <v>6.5436459290287-60.2992980091375j</v>
      </c>
      <c r="BE85" s="159">
        <f t="shared" si="40"/>
        <v>35.657090869243504</v>
      </c>
      <c r="BF85" s="159">
        <f t="shared" si="41"/>
        <v>96.193469274561437</v>
      </c>
      <c r="BH85" s="159">
        <f t="shared" si="49"/>
        <v>-34.657090869243504</v>
      </c>
      <c r="BI85" s="169">
        <f t="shared" si="50"/>
        <v>-96.193469274561437</v>
      </c>
      <c r="BN85" s="165"/>
      <c r="BO85" s="165"/>
      <c r="BP85" s="165"/>
    </row>
    <row r="86" spans="1:68" s="159" customFormat="1">
      <c r="A86" s="159">
        <v>22</v>
      </c>
      <c r="B86" s="159">
        <f t="shared" si="42"/>
        <v>275.4228703338166</v>
      </c>
      <c r="C86" s="159" t="str">
        <f t="shared" si="0"/>
        <v>1730.53293214266j</v>
      </c>
      <c r="D86" s="159">
        <f t="shared" si="1"/>
        <v>0.9999987862758799</v>
      </c>
      <c r="E86" s="159" t="str">
        <f t="shared" si="2"/>
        <v>-0.00173053293214266j</v>
      </c>
      <c r="F86" s="159" t="str">
        <f t="shared" si="3"/>
        <v>0.99999878627588-0.00173053293214266j</v>
      </c>
      <c r="G86" s="159">
        <f t="shared" si="4"/>
        <v>2.4637408764122766E-6</v>
      </c>
      <c r="H86" s="159">
        <f t="shared" si="5"/>
        <v>-9.9152254685068164E-2</v>
      </c>
      <c r="J86" s="159">
        <f t="shared" si="6"/>
        <v>6.3936063936063938</v>
      </c>
      <c r="K86" s="159" t="str">
        <f t="shared" si="7"/>
        <v>1+0.424041137027577j</v>
      </c>
      <c r="L86" s="159">
        <f t="shared" si="8"/>
        <v>0.99824059823646083</v>
      </c>
      <c r="M86" s="159" t="str">
        <f t="shared" si="9"/>
        <v>0.00463361862009061j</v>
      </c>
      <c r="N86" s="159" t="str">
        <f t="shared" si="10"/>
        <v>0.998240598236461+0.00463361862009061j</v>
      </c>
      <c r="O86" s="159" t="str">
        <f t="shared" si="11"/>
        <v>1.00371265364969+0.420129491955466j</v>
      </c>
      <c r="P86" s="159" t="str">
        <f t="shared" si="12"/>
        <v>6.4173436397183+2.68614260590907j</v>
      </c>
      <c r="R86" s="159">
        <f t="shared" si="13"/>
        <v>31.968031968031973</v>
      </c>
      <c r="S86" s="159" t="str">
        <f t="shared" si="14"/>
        <v>1+0.0000605686526249931j</v>
      </c>
      <c r="T86" s="159" t="str">
        <f t="shared" si="15"/>
        <v>0.998240598236461+0.00463361862009061j</v>
      </c>
      <c r="U86" s="159" t="str">
        <f t="shared" si="16"/>
        <v>1.00174120066836-0.00458919226025975j</v>
      </c>
      <c r="V86" s="159" t="str">
        <f t="shared" si="17"/>
        <v>32.0236947266609-0.146707444883429j</v>
      </c>
      <c r="X86" s="159" t="str">
        <f t="shared" si="18"/>
        <v>0.251731602513782+0.104857088299456j</v>
      </c>
      <c r="Y86" s="159">
        <f t="shared" si="19"/>
        <v>-11.286383751891215</v>
      </c>
      <c r="Z86" s="159">
        <f t="shared" si="20"/>
        <v>-157.38616276466718</v>
      </c>
      <c r="AB86" s="159" t="str">
        <f t="shared" si="21"/>
        <v>14.1042478426166-0.0646145980548025j</v>
      </c>
      <c r="AC86" s="159">
        <f t="shared" si="22"/>
        <v>22.98708976407681</v>
      </c>
      <c r="AD86" s="159">
        <f t="shared" si="23"/>
        <v>179.73751752624548</v>
      </c>
      <c r="AF86" s="159" t="str">
        <f t="shared" si="24"/>
        <v>11.1849761111076-0.988581436531155j</v>
      </c>
      <c r="AG86" s="159">
        <f t="shared" si="25"/>
        <v>21.006495891403652</v>
      </c>
      <c r="AH86" s="159">
        <f t="shared" si="26"/>
        <v>174.94905139835282</v>
      </c>
      <c r="AJ86" s="159" t="str">
        <f t="shared" si="27"/>
        <v>157482.205673464-1674.00411926444j</v>
      </c>
      <c r="AK86" s="159" t="str">
        <f t="shared" si="28"/>
        <v>30000-1.55747963892839E-06j</v>
      </c>
      <c r="AL86" s="159" t="str">
        <f t="shared" si="43"/>
        <v>10000-12841259.3655226j</v>
      </c>
      <c r="AM86" s="159" t="str">
        <f t="shared" si="44"/>
        <v>963.13884229166-3985218.9410481j</v>
      </c>
      <c r="AN86" s="159" t="str">
        <f t="shared" si="45"/>
        <v>10963.1388422917-3985218.9410481j</v>
      </c>
      <c r="AO86" s="159" t="str">
        <f t="shared" si="46"/>
        <v>29997.6789447008-225.810662301878j</v>
      </c>
      <c r="AP86" s="159" t="str">
        <f t="shared" si="47"/>
        <v>0.160002429786256+0.00142864078371649j</v>
      </c>
      <c r="AQ86" s="159" t="str">
        <f t="shared" si="29"/>
        <v>1+0.172880239921052j</v>
      </c>
      <c r="AR86" s="159">
        <f t="shared" si="30"/>
        <v>9.5512375772498441E-8</v>
      </c>
      <c r="AS86" s="159" t="str">
        <f t="shared" si="31"/>
        <v>4.71568493475943E-06j</v>
      </c>
      <c r="AT86" s="159" t="str">
        <f t="shared" si="32"/>
        <v>9.55123757724984E-08+4.71568493475943E-06j</v>
      </c>
      <c r="AU86" s="159" t="str">
        <f t="shared" si="33"/>
        <v>6.14084383854727-31.6843630316355j</v>
      </c>
      <c r="AW86" s="159" t="str">
        <f t="shared" si="48"/>
        <v>1.0217252723292-5.06203157088846j</v>
      </c>
      <c r="AX86" s="159">
        <f t="shared" si="34"/>
        <v>14.259918495342603</v>
      </c>
      <c r="AY86" s="159">
        <f t="shared" si="35"/>
        <v>101.41131838927795</v>
      </c>
      <c r="AZ86" s="159" t="str">
        <f t="shared" si="36"/>
        <v>14.0835853327023-71.4621662307545j</v>
      </c>
      <c r="BA86" s="159">
        <f t="shared" si="37"/>
        <v>37.247008259419388</v>
      </c>
      <c r="BB86" s="159">
        <f t="shared" si="38"/>
        <v>101.14883591552349</v>
      </c>
      <c r="BD86" s="159" t="str">
        <f t="shared" si="39"/>
        <v>6.42374232100204-57.6287608315191j</v>
      </c>
      <c r="BE86" s="159">
        <f t="shared" si="40"/>
        <v>35.266414386746227</v>
      </c>
      <c r="BF86" s="159">
        <f t="shared" si="41"/>
        <v>96.360369787630816</v>
      </c>
      <c r="BH86" s="159">
        <f t="shared" si="49"/>
        <v>-34.266414386746227</v>
      </c>
      <c r="BI86" s="169">
        <f t="shared" si="50"/>
        <v>-96.360369787630816</v>
      </c>
      <c r="BN86" s="165"/>
      <c r="BO86" s="165"/>
      <c r="BP86" s="165"/>
    </row>
    <row r="87" spans="1:68" s="159" customFormat="1">
      <c r="A87" s="159">
        <v>23</v>
      </c>
      <c r="B87" s="159">
        <f t="shared" si="42"/>
        <v>288.40315031266061</v>
      </c>
      <c r="C87" s="159" t="str">
        <f t="shared" si="0"/>
        <v>1812.09043658881j</v>
      </c>
      <c r="D87" s="159">
        <f t="shared" si="1"/>
        <v>0.9999986691779662</v>
      </c>
      <c r="E87" s="159" t="str">
        <f t="shared" si="2"/>
        <v>-0.00181209043658881j</v>
      </c>
      <c r="F87" s="159" t="str">
        <f t="shared" si="3"/>
        <v>0.999998669177966-0.00181209043658881j</v>
      </c>
      <c r="G87" s="159">
        <f t="shared" si="4"/>
        <v>2.7014387508626072E-6</v>
      </c>
      <c r="H87" s="159">
        <f t="shared" si="5"/>
        <v>-0.10382515864273448</v>
      </c>
      <c r="J87" s="159">
        <f t="shared" si="6"/>
        <v>6.3936063936063938</v>
      </c>
      <c r="K87" s="159" t="str">
        <f t="shared" si="7"/>
        <v>1+0.444025580129539j</v>
      </c>
      <c r="L87" s="159">
        <f t="shared" si="8"/>
        <v>0.99807085432802345</v>
      </c>
      <c r="M87" s="159" t="str">
        <f t="shared" si="9"/>
        <v>0.0048519943378771j</v>
      </c>
      <c r="N87" s="159" t="str">
        <f t="shared" si="10"/>
        <v>0.998070854328023+0.0048519943378771j</v>
      </c>
      <c r="O87" s="159" t="str">
        <f t="shared" si="11"/>
        <v>1.00407189134989+0.440002658221654j</v>
      </c>
      <c r="P87" s="159" t="str">
        <f t="shared" si="12"/>
        <v>6.41964046417512+2.81320380880978j</v>
      </c>
      <c r="R87" s="159">
        <f t="shared" si="13"/>
        <v>31.968031968031973</v>
      </c>
      <c r="S87" s="159" t="str">
        <f t="shared" si="14"/>
        <v>1+0.0000634231652806083j</v>
      </c>
      <c r="T87" s="159" t="str">
        <f t="shared" si="15"/>
        <v>0.998070854328023+0.0048519943378771j</v>
      </c>
      <c r="U87" s="159" t="str">
        <f t="shared" si="16"/>
        <v>1.00190950531687-0.00480710969644769j</v>
      </c>
      <c r="V87" s="159" t="str">
        <f t="shared" si="17"/>
        <v>32.0290750950448-0.153673836449876j</v>
      </c>
      <c r="X87" s="159" t="str">
        <f t="shared" si="18"/>
        <v>0.25183921750451+0.109816988121637j</v>
      </c>
      <c r="Y87" s="159">
        <f t="shared" si="19"/>
        <v>-11.221522148547047</v>
      </c>
      <c r="Z87" s="159">
        <f t="shared" si="20"/>
        <v>-156.43991377303638</v>
      </c>
      <c r="AB87" s="159" t="str">
        <f t="shared" si="21"/>
        <v>14.1066175269962-0.0676828171988003j</v>
      </c>
      <c r="AC87" s="159">
        <f t="shared" si="22"/>
        <v>22.988557804119218</v>
      </c>
      <c r="AD87" s="159">
        <f t="shared" si="23"/>
        <v>179.72509993930737</v>
      </c>
      <c r="AF87" s="159" t="str">
        <f t="shared" si="24"/>
        <v>11.1779496310958-1.03464691068159j</v>
      </c>
      <c r="AG87" s="159">
        <f t="shared" si="25"/>
        <v>21.00429316298635</v>
      </c>
      <c r="AH87" s="159">
        <f t="shared" si="26"/>
        <v>174.71168957293352</v>
      </c>
      <c r="AJ87" s="159" t="str">
        <f t="shared" si="27"/>
        <v>157480.489121609-1752.87839630042j</v>
      </c>
      <c r="AK87" s="159" t="str">
        <f t="shared" si="28"/>
        <v>30000-1.63088139292993E-06j</v>
      </c>
      <c r="AL87" s="159" t="str">
        <f t="shared" si="43"/>
        <v>10000-12263307.4892524j</v>
      </c>
      <c r="AM87" s="159" t="str">
        <f t="shared" si="44"/>
        <v>963.138815489693-3805854.59003184j</v>
      </c>
      <c r="AN87" s="159" t="str">
        <f t="shared" si="45"/>
        <v>10963.1388154897-3805854.59003184j</v>
      </c>
      <c r="AO87" s="159" t="str">
        <f t="shared" si="46"/>
        <v>29997.4550394764-236.450378054978j</v>
      </c>
      <c r="AP87" s="159" t="str">
        <f t="shared" si="47"/>
        <v>0.160002664206907+0.00149597013205432j</v>
      </c>
      <c r="AQ87" s="159" t="str">
        <f t="shared" si="29"/>
        <v>1+0.181027834615222j</v>
      </c>
      <c r="AR87" s="159">
        <f t="shared" si="30"/>
        <v>9.5079417882060636E-8</v>
      </c>
      <c r="AS87" s="159" t="str">
        <f t="shared" si="31"/>
        <v>4.93792831880014E-06j</v>
      </c>
      <c r="AT87" s="159" t="str">
        <f t="shared" si="32"/>
        <v>9.50794178820606E-08+4.93792831880014E-06j</v>
      </c>
      <c r="AU87" s="159" t="str">
        <f t="shared" si="33"/>
        <v>6.08175680019567-30.2600079338626j</v>
      </c>
      <c r="AW87" s="159" t="str">
        <f t="shared" si="48"/>
        <v>1.01227556062373-4.83385936363174j</v>
      </c>
      <c r="AX87" s="159">
        <f t="shared" si="34"/>
        <v>13.872277928469064</v>
      </c>
      <c r="AY87" s="159">
        <f t="shared" si="35"/>
        <v>101.82759242969921</v>
      </c>
      <c r="AZ87" s="159" t="str">
        <f t="shared" si="36"/>
        <v>13.9526149459712-68.2579188837666j</v>
      </c>
      <c r="BA87" s="159">
        <f t="shared" si="37"/>
        <v>36.860835732588264</v>
      </c>
      <c r="BB87" s="159">
        <f t="shared" si="38"/>
        <v>101.55269236900658</v>
      </c>
      <c r="BD87" s="159" t="str">
        <f t="shared" si="39"/>
        <v>6.31382757219044-55.0799842720341j</v>
      </c>
      <c r="BE87" s="159">
        <f t="shared" si="40"/>
        <v>34.876571091455403</v>
      </c>
      <c r="BF87" s="159">
        <f t="shared" si="41"/>
        <v>96.539282002632731</v>
      </c>
      <c r="BH87" s="159">
        <f t="shared" si="49"/>
        <v>-33.876571091455403</v>
      </c>
      <c r="BI87" s="169">
        <f t="shared" si="50"/>
        <v>-96.539282002632731</v>
      </c>
      <c r="BN87" s="165"/>
      <c r="BO87" s="165"/>
      <c r="BP87" s="165"/>
    </row>
    <row r="88" spans="1:68" s="159" customFormat="1">
      <c r="A88" s="159">
        <v>24</v>
      </c>
      <c r="B88" s="159">
        <f t="shared" si="42"/>
        <v>301.99517204020168</v>
      </c>
      <c r="C88" s="159" t="str">
        <f t="shared" si="0"/>
        <v>1897.49162780217j</v>
      </c>
      <c r="D88" s="159">
        <f t="shared" si="1"/>
        <v>0.99999854078265704</v>
      </c>
      <c r="E88" s="159" t="str">
        <f t="shared" si="2"/>
        <v>-0.00189749162780217j</v>
      </c>
      <c r="F88" s="159" t="str">
        <f t="shared" si="3"/>
        <v>0.999998540782657-0.00189749162780217j</v>
      </c>
      <c r="G88" s="159">
        <f t="shared" si="4"/>
        <v>2.9620694155771074E-6</v>
      </c>
      <c r="H88" s="159">
        <f t="shared" si="5"/>
        <v>-0.10871829009887916</v>
      </c>
      <c r="J88" s="159">
        <f t="shared" si="6"/>
        <v>6.3936063936063938</v>
      </c>
      <c r="K88" s="159" t="str">
        <f t="shared" si="7"/>
        <v>1+0.464951861018505j</v>
      </c>
      <c r="L88" s="159">
        <f t="shared" si="8"/>
        <v>0.99788473383349374</v>
      </c>
      <c r="M88" s="159" t="str">
        <f t="shared" si="9"/>
        <v>0.00508066178617245j</v>
      </c>
      <c r="N88" s="159" t="str">
        <f t="shared" si="10"/>
        <v>0.997884733833494+0.00508066178617245j</v>
      </c>
      <c r="O88" s="159" t="str">
        <f t="shared" si="11"/>
        <v>1.00446600013817+0.460823272873942j</v>
      </c>
      <c r="P88" s="159" t="str">
        <f t="shared" si="12"/>
        <v>6.42216024064364+2.94632262376946j</v>
      </c>
      <c r="R88" s="159">
        <f t="shared" si="13"/>
        <v>31.968031968031973</v>
      </c>
      <c r="S88" s="159" t="str">
        <f t="shared" si="14"/>
        <v>1+0.0000664122069730759j</v>
      </c>
      <c r="T88" s="159" t="str">
        <f t="shared" si="15"/>
        <v>0.997884733833494+0.00508066178617245j</v>
      </c>
      <c r="U88" s="159" t="str">
        <f t="shared" si="16"/>
        <v>1.00209411189203-0.00503554056204617j</v>
      </c>
      <c r="V88" s="159" t="str">
        <f t="shared" si="17"/>
        <v>32.034976603941-0.160976321663814j</v>
      </c>
      <c r="X88" s="159" t="str">
        <f t="shared" si="18"/>
        <v>0.251957274949413+0.115013335078101j</v>
      </c>
      <c r="Y88" s="159">
        <f t="shared" si="19"/>
        <v>-11.151449847006326</v>
      </c>
      <c r="Z88" s="159">
        <f t="shared" si="20"/>
        <v>-155.46427349789059</v>
      </c>
      <c r="AB88" s="159" t="str">
        <f t="shared" si="21"/>
        <v>14.1092167381374-0.0708990626134393j</v>
      </c>
      <c r="AC88" s="159">
        <f t="shared" si="22"/>
        <v>22.990167759721984</v>
      </c>
      <c r="AD88" s="159">
        <f t="shared" si="23"/>
        <v>179.71209012210375</v>
      </c>
      <c r="AF88" s="159" t="str">
        <f t="shared" si="24"/>
        <v>11.17025306189-1.0828062171551j</v>
      </c>
      <c r="AG88" s="159">
        <f t="shared" si="25"/>
        <v>21.001879057793964</v>
      </c>
      <c r="AH88" s="159">
        <f t="shared" si="26"/>
        <v>174.46324181476874</v>
      </c>
      <c r="AJ88" s="159" t="str">
        <f t="shared" si="27"/>
        <v>157478.607002937-1835.46707329043j</v>
      </c>
      <c r="AK88" s="159" t="str">
        <f t="shared" si="28"/>
        <v>30000-1.70774246502195E-06j</v>
      </c>
      <c r="AL88" s="159" t="str">
        <f t="shared" si="43"/>
        <v>10000-11711367.7323372j</v>
      </c>
      <c r="AM88" s="159" t="str">
        <f t="shared" si="44"/>
        <v>963.138786101912-3634562.96686085j</v>
      </c>
      <c r="AN88" s="159" t="str">
        <f t="shared" si="45"/>
        <v>10963.1387861019-3634562.96686085j</v>
      </c>
      <c r="AO88" s="159" t="str">
        <f t="shared" si="46"/>
        <v>29997.2095375386-247.591170743321j</v>
      </c>
      <c r="AP88" s="159" t="str">
        <f t="shared" si="47"/>
        <v>0.16000292124389+0.00156647255296889j</v>
      </c>
      <c r="AQ88" s="159" t="str">
        <f t="shared" si="29"/>
        <v>1+0.189559413617437j</v>
      </c>
      <c r="AR88" s="159">
        <f t="shared" si="30"/>
        <v>9.460468899534737E-8</v>
      </c>
      <c r="AS88" s="159" t="str">
        <f t="shared" si="31"/>
        <v>5.17064571084464E-06j</v>
      </c>
      <c r="AT88" s="159" t="str">
        <f t="shared" si="32"/>
        <v>9.46046889953474E-08+5.17064571084464E-06j</v>
      </c>
      <c r="AU88" s="159" t="str">
        <f t="shared" si="33"/>
        <v>6.02786461717069-28.8996276478932j</v>
      </c>
      <c r="AW88" s="159" t="str">
        <f t="shared" si="48"/>
        <v>1.0036571467349-4.6159067116128j</v>
      </c>
      <c r="AX88" s="159">
        <f t="shared" si="34"/>
        <v>13.485759191706791</v>
      </c>
      <c r="AY88" s="159">
        <f t="shared" si="35"/>
        <v>102.26713432960406</v>
      </c>
      <c r="AZ88" s="159" t="str">
        <f t="shared" si="36"/>
        <v>13.8335527550989-65.1979865880569j</v>
      </c>
      <c r="BA88" s="159">
        <f t="shared" si="37"/>
        <v>36.475926951428775</v>
      </c>
      <c r="BB88" s="159">
        <f t="shared" si="38"/>
        <v>101.97922445170784</v>
      </c>
      <c r="BD88" s="159" t="str">
        <f t="shared" si="39"/>
        <v>6.21297183126104-52.6476122771682j</v>
      </c>
      <c r="BE88" s="159">
        <f t="shared" si="40"/>
        <v>34.487638249500762</v>
      </c>
      <c r="BF88" s="159">
        <f t="shared" si="41"/>
        <v>96.730376144372826</v>
      </c>
      <c r="BH88" s="159">
        <f t="shared" si="49"/>
        <v>-33.487638249500762</v>
      </c>
      <c r="BI88" s="169">
        <f t="shared" si="50"/>
        <v>-96.730376144372826</v>
      </c>
      <c r="BN88" s="165"/>
      <c r="BO88" s="165"/>
      <c r="BP88" s="165"/>
    </row>
    <row r="89" spans="1:68" s="159" customFormat="1">
      <c r="A89" s="159">
        <v>25</v>
      </c>
      <c r="B89" s="159">
        <f t="shared" si="42"/>
        <v>316.22776601683796</v>
      </c>
      <c r="C89" s="159" t="str">
        <f t="shared" si="0"/>
        <v>1986.91765315922j</v>
      </c>
      <c r="D89" s="159">
        <f t="shared" si="1"/>
        <v>0.99999839999999995</v>
      </c>
      <c r="E89" s="159" t="str">
        <f t="shared" si="2"/>
        <v>-0.00198691765315922j</v>
      </c>
      <c r="F89" s="159" t="str">
        <f t="shared" si="3"/>
        <v>0.9999984-0.00198691765315922j</v>
      </c>
      <c r="G89" s="159">
        <f t="shared" si="4"/>
        <v>3.2478454013170769E-6</v>
      </c>
      <c r="H89" s="159">
        <f t="shared" si="5"/>
        <v>-0.11384202810312041</v>
      </c>
      <c r="J89" s="159">
        <f t="shared" si="6"/>
        <v>6.3936063936063938</v>
      </c>
      <c r="K89" s="159" t="str">
        <f t="shared" si="7"/>
        <v>1+0.486864367141869j</v>
      </c>
      <c r="L89" s="159">
        <f t="shared" si="8"/>
        <v>0.99768065676938655</v>
      </c>
      <c r="M89" s="159" t="str">
        <f t="shared" si="9"/>
        <v>0.00532010599929244j</v>
      </c>
      <c r="N89" s="159" t="str">
        <f t="shared" si="10"/>
        <v>0.997680656769387+0.00532010599929244j</v>
      </c>
      <c r="O89" s="159" t="str">
        <f t="shared" si="11"/>
        <v>1.00489838748211+0.482637603460371j</v>
      </c>
      <c r="P89" s="159" t="str">
        <f t="shared" si="12"/>
        <v>6.42492475513037+3.0857948672791j</v>
      </c>
      <c r="R89" s="159">
        <f t="shared" si="13"/>
        <v>31.968031968031973</v>
      </c>
      <c r="S89" s="159" t="str">
        <f t="shared" si="14"/>
        <v>1+0.0000695421178605727j</v>
      </c>
      <c r="T89" s="159" t="str">
        <f t="shared" si="15"/>
        <v>0.997680656769387+0.00532010599929244j</v>
      </c>
      <c r="U89" s="159" t="str">
        <f t="shared" si="16"/>
        <v>1.00229660620096-0.00527501664400427j</v>
      </c>
      <c r="V89" s="159" t="str">
        <f t="shared" si="17"/>
        <v>32.0414499484822-0.168631900707429j</v>
      </c>
      <c r="X89" s="159" t="str">
        <f t="shared" si="18"/>
        <v>0.252086794496211+0.120457673591548j</v>
      </c>
      <c r="Y89" s="159">
        <f t="shared" si="19"/>
        <v>-11.075836759711525</v>
      </c>
      <c r="Z89" s="159">
        <f t="shared" si="20"/>
        <v>-154.45956700444782</v>
      </c>
      <c r="AB89" s="159" t="str">
        <f t="shared" si="21"/>
        <v>14.1120678037799-0.074270821716551j</v>
      </c>
      <c r="AC89" s="159">
        <f t="shared" si="22"/>
        <v>22.991933379744371</v>
      </c>
      <c r="AD89" s="159">
        <f t="shared" si="23"/>
        <v>179.69845912053384</v>
      </c>
      <c r="AF89" s="159" t="str">
        <f t="shared" si="24"/>
        <v>11.1618233200039-1.13314675797293j</v>
      </c>
      <c r="AG89" s="159">
        <f t="shared" si="25"/>
        <v>20.999233411424598</v>
      </c>
      <c r="AH89" s="159">
        <f t="shared" si="26"/>
        <v>174.20320044294311</v>
      </c>
      <c r="AJ89" s="159" t="str">
        <f t="shared" si="27"/>
        <v>157476.543352558-1921.9447853364j</v>
      </c>
      <c r="AK89" s="159" t="str">
        <f t="shared" si="28"/>
        <v>30000-0.0000017882258878433j</v>
      </c>
      <c r="AL89" s="159" t="str">
        <f t="shared" si="43"/>
        <v>10000-11184269.3565527j</v>
      </c>
      <c r="AM89" s="159" t="str">
        <f t="shared" si="44"/>
        <v>963.138753878868-3470980.73903692j</v>
      </c>
      <c r="AN89" s="159" t="str">
        <f t="shared" si="45"/>
        <v>10963.1387538789-3470980.73903692j</v>
      </c>
      <c r="AO89" s="159" t="str">
        <f t="shared" si="46"/>
        <v>29996.9403563396-259.256602457644j</v>
      </c>
      <c r="AP89" s="159" t="str">
        <f t="shared" si="47"/>
        <v>0.160003203079156+0.00164029757960014j</v>
      </c>
      <c r="AQ89" s="159" t="str">
        <f t="shared" si="29"/>
        <v>1+0.198493073550606j</v>
      </c>
      <c r="AR89" s="159">
        <f t="shared" si="30"/>
        <v>9.4084159121987043E-8</v>
      </c>
      <c r="AS89" s="159" t="str">
        <f t="shared" si="31"/>
        <v>5.41433073568234E-06j</v>
      </c>
      <c r="AT89" s="159" t="str">
        <f t="shared" si="32"/>
        <v>9.4084159121987E-08+5.41433073568234E-06j</v>
      </c>
      <c r="AU89" s="159" t="str">
        <f t="shared" si="33"/>
        <v>5.97871087527564-27.6003637956249j</v>
      </c>
      <c r="AW89" s="159" t="str">
        <f t="shared" si="48"/>
        <v>0.995797041165275-4.4077156548768j</v>
      </c>
      <c r="AX89" s="159">
        <f t="shared" si="34"/>
        <v>13.100465719869455</v>
      </c>
      <c r="AY89" s="159">
        <f t="shared" si="35"/>
        <v>102.73061896977256</v>
      </c>
      <c r="AZ89" s="159" t="str">
        <f t="shared" si="36"/>
        <v>13.7253907001471-62.2759408459137j</v>
      </c>
      <c r="BA89" s="159">
        <f t="shared" si="37"/>
        <v>36.092399099613807</v>
      </c>
      <c r="BB89" s="159">
        <f t="shared" si="38"/>
        <v>102.42907809030635</v>
      </c>
      <c r="BD89" s="159" t="str">
        <f t="shared" si="39"/>
        <v>6.12032193167917-50.3265275733454j</v>
      </c>
      <c r="BE89" s="159">
        <f t="shared" si="40"/>
        <v>34.09969913129401</v>
      </c>
      <c r="BF89" s="159">
        <f t="shared" si="41"/>
        <v>96.933819412715579</v>
      </c>
      <c r="BH89" s="159">
        <f t="shared" si="49"/>
        <v>-33.09969913129401</v>
      </c>
      <c r="BI89" s="169">
        <f t="shared" si="50"/>
        <v>-96.933819412715579</v>
      </c>
      <c r="BN89" s="165"/>
      <c r="BO89" s="165"/>
      <c r="BP89" s="165"/>
    </row>
    <row r="90" spans="1:68" s="159" customFormat="1">
      <c r="A90" s="159">
        <v>26</v>
      </c>
      <c r="B90" s="159">
        <f t="shared" si="42"/>
        <v>331.13112148259114</v>
      </c>
      <c r="C90" s="159" t="str">
        <f t="shared" si="0"/>
        <v>2080.55819724932j</v>
      </c>
      <c r="D90" s="159">
        <f t="shared" si="1"/>
        <v>0.99999824563488615</v>
      </c>
      <c r="E90" s="159" t="str">
        <f t="shared" si="2"/>
        <v>-0.00208055819724932j</v>
      </c>
      <c r="F90" s="159" t="str">
        <f t="shared" si="3"/>
        <v>0.999998245634886-0.00208055819724932j</v>
      </c>
      <c r="G90" s="159">
        <f t="shared" si="4"/>
        <v>3.5611927152875548E-6</v>
      </c>
      <c r="H90" s="159">
        <f t="shared" si="5"/>
        <v>-0.11920724086163617</v>
      </c>
      <c r="J90" s="159">
        <f t="shared" si="6"/>
        <v>6.3936063936063938</v>
      </c>
      <c r="K90" s="159" t="str">
        <f t="shared" si="7"/>
        <v>1+0.509809577862987j</v>
      </c>
      <c r="L90" s="159">
        <f t="shared" si="8"/>
        <v>0.99745689071826005</v>
      </c>
      <c r="M90" s="159" t="str">
        <f t="shared" si="9"/>
        <v>0.00557083487051599j</v>
      </c>
      <c r="N90" s="159" t="str">
        <f t="shared" si="10"/>
        <v>0.99745689071826+0.00557083487051599j</v>
      </c>
      <c r="O90" s="159" t="str">
        <f t="shared" si="11"/>
        <v>1.00537279838778+0.505494339366169j</v>
      </c>
      <c r="P90" s="159" t="str">
        <f t="shared" si="12"/>
        <v>6.42795795173006+3.23193184010338j</v>
      </c>
      <c r="R90" s="159">
        <f t="shared" si="13"/>
        <v>31.968031968031973</v>
      </c>
      <c r="S90" s="159" t="str">
        <f t="shared" si="14"/>
        <v>1+0.0000728195369037262j</v>
      </c>
      <c r="T90" s="159" t="str">
        <f t="shared" si="15"/>
        <v>0.99745689071826+0.00557083487051599j</v>
      </c>
      <c r="U90" s="159" t="str">
        <f t="shared" si="16"/>
        <v>1.0025187296947-0.00552610023763106j</v>
      </c>
      <c r="V90" s="159" t="str">
        <f t="shared" si="17"/>
        <v>32.048550799431-0.176658549055139j</v>
      </c>
      <c r="X90" s="159" t="str">
        <f t="shared" si="18"/>
        <v>0.25222889664632+0.126162152048496j</v>
      </c>
      <c r="Y90" s="159">
        <f t="shared" si="19"/>
        <v>-10.994345892766388</v>
      </c>
      <c r="Z90" s="159">
        <f t="shared" si="20"/>
        <v>-153.4262804573616</v>
      </c>
      <c r="AB90" s="159" t="str">
        <f t="shared" si="21"/>
        <v>14.1151952430879-0.0778060114755072j</v>
      </c>
      <c r="AC90" s="159">
        <f t="shared" si="22"/>
        <v>22.993869751099247</v>
      </c>
      <c r="AD90" s="159">
        <f t="shared" si="23"/>
        <v>179.68417646009311</v>
      </c>
      <c r="AF90" s="159" t="str">
        <f t="shared" si="24"/>
        <v>11.1525915477601-1.18575842326865j</v>
      </c>
      <c r="AG90" s="159">
        <f t="shared" si="25"/>
        <v>20.996334159887297</v>
      </c>
      <c r="AH90" s="159">
        <f t="shared" si="26"/>
        <v>173.93103600983994</v>
      </c>
      <c r="AJ90" s="159" t="str">
        <f t="shared" si="27"/>
        <v>157474.280667076-2012.49433577038j</v>
      </c>
      <c r="AK90" s="159" t="str">
        <f t="shared" si="28"/>
        <v>30000-1.87250237752439E-06j</v>
      </c>
      <c r="AL90" s="159" t="str">
        <f t="shared" si="43"/>
        <v>10000-10680894.3155745j</v>
      </c>
      <c r="AM90" s="159" t="str">
        <f t="shared" si="44"/>
        <v>963.138718547002-3314760.92672296j</v>
      </c>
      <c r="AN90" s="159" t="str">
        <f t="shared" si="45"/>
        <v>10963.138718547-3314760.92672296j</v>
      </c>
      <c r="AO90" s="159" t="str">
        <f t="shared" si="46"/>
        <v>29996.645212625-271.471337896878j</v>
      </c>
      <c r="AP90" s="159" t="str">
        <f t="shared" si="47"/>
        <v>0.160003512105163+0.00171760179101017j</v>
      </c>
      <c r="AQ90" s="159" t="str">
        <f t="shared" si="29"/>
        <v>1+0.207847763905207j</v>
      </c>
      <c r="AR90" s="159">
        <f t="shared" si="30"/>
        <v>9.3513409465406197E-8</v>
      </c>
      <c r="AS90" s="159" t="str">
        <f t="shared" si="31"/>
        <v>5.66950028192242E-06j</v>
      </c>
      <c r="AT90" s="159" t="str">
        <f t="shared" si="32"/>
        <v>9.35134094654062E-08+5.66950028192242E-06j</v>
      </c>
      <c r="AU90" s="159" t="str">
        <f t="shared" si="33"/>
        <v>5.9338792037973-26.3594841331629j</v>
      </c>
      <c r="AW90" s="159" t="str">
        <f t="shared" si="48"/>
        <v>0.98862866271836-4.20884837893406j</v>
      </c>
      <c r="AX90" s="159">
        <f t="shared" si="34"/>
        <v>12.716509235617078</v>
      </c>
      <c r="AY90" s="159">
        <f t="shared" si="35"/>
        <v>103.21873661296267</v>
      </c>
      <c r="AZ90" s="159" t="str">
        <f t="shared" si="36"/>
        <v>13.6272128919125-59.4856378702846j</v>
      </c>
      <c r="BA90" s="159">
        <f t="shared" si="37"/>
        <v>35.7103789867163</v>
      </c>
      <c r="BB90" s="159">
        <f t="shared" si="38"/>
        <v>102.90291307305579</v>
      </c>
      <c r="BD90" s="159" t="str">
        <f t="shared" si="39"/>
        <v>6.03509425012445-48.1118416210068j</v>
      </c>
      <c r="BE90" s="159">
        <f t="shared" si="40"/>
        <v>33.712843395504358</v>
      </c>
      <c r="BF90" s="159">
        <f t="shared" si="41"/>
        <v>97.149772622802587</v>
      </c>
      <c r="BH90" s="159">
        <f t="shared" si="49"/>
        <v>-32.712843395504358</v>
      </c>
      <c r="BI90" s="169">
        <f t="shared" si="50"/>
        <v>-97.149772622802587</v>
      </c>
      <c r="BN90" s="165"/>
      <c r="BO90" s="165"/>
      <c r="BP90" s="165"/>
    </row>
    <row r="91" spans="1:68" s="159" customFormat="1">
      <c r="A91" s="159">
        <v>27</v>
      </c>
      <c r="B91" s="159">
        <f t="shared" si="42"/>
        <v>346.73685045253171</v>
      </c>
      <c r="C91" s="159" t="str">
        <f t="shared" si="0"/>
        <v>2178.61188422107j</v>
      </c>
      <c r="D91" s="159">
        <f t="shared" si="1"/>
        <v>0.99999807637690463</v>
      </c>
      <c r="E91" s="159" t="str">
        <f t="shared" si="2"/>
        <v>-0.00217861188422107j</v>
      </c>
      <c r="F91" s="159" t="str">
        <f t="shared" si="3"/>
        <v>0.999998076376905-0.00217861188422107j</v>
      </c>
      <c r="G91" s="159">
        <f t="shared" si="4"/>
        <v>3.9047714274817882E-6</v>
      </c>
      <c r="H91" s="159">
        <f t="shared" si="5"/>
        <v>-0.12482530879143743</v>
      </c>
      <c r="J91" s="159">
        <f t="shared" si="6"/>
        <v>6.3936063936063938</v>
      </c>
      <c r="K91" s="159" t="str">
        <f t="shared" si="7"/>
        <v>1+0.53383616305011j</v>
      </c>
      <c r="L91" s="159">
        <f t="shared" si="8"/>
        <v>0.99721153612216273</v>
      </c>
      <c r="M91" s="159" t="str">
        <f t="shared" si="9"/>
        <v>0.00583338022939471j</v>
      </c>
      <c r="N91" s="159" t="str">
        <f t="shared" si="10"/>
        <v>0.997211536122163+0.00583338022939471j</v>
      </c>
      <c r="O91" s="159" t="str">
        <f t="shared" si="11"/>
        <v>1.00589334976253+0.529444742209688j</v>
      </c>
      <c r="P91" s="159" t="str">
        <f t="shared" si="12"/>
        <v>6.43128615232786+3.38506128885315j</v>
      </c>
      <c r="R91" s="159">
        <f t="shared" si="13"/>
        <v>31.968031968031973</v>
      </c>
      <c r="S91" s="159" t="str">
        <f t="shared" si="14"/>
        <v>1+0.0000762514159477374j</v>
      </c>
      <c r="T91" s="159" t="str">
        <f t="shared" si="15"/>
        <v>0.997211536122163+0.00583338022939471j</v>
      </c>
      <c r="U91" s="159" t="str">
        <f t="shared" si="16"/>
        <v>1.00276239502436-0.00578938640884376j</v>
      </c>
      <c r="V91" s="159" t="str">
        <f t="shared" si="17"/>
        <v>32.0563403004791-0.185075289793207j</v>
      </c>
      <c r="X91" s="159" t="str">
        <f t="shared" si="18"/>
        <v>0.252384812991936+0.132139560261512j</v>
      </c>
      <c r="Y91" s="159">
        <f t="shared" si="19"/>
        <v>-10.906635417107207</v>
      </c>
      <c r="Z91" s="159">
        <f t="shared" si="20"/>
        <v>-152.36507194288765</v>
      </c>
      <c r="AB91" s="159" t="str">
        <f t="shared" si="21"/>
        <v>14.1186259856768-0.081513010259065j</v>
      </c>
      <c r="AC91" s="159">
        <f t="shared" si="22"/>
        <v>22.995993430202994</v>
      </c>
      <c r="AD91" s="159">
        <f t="shared" si="23"/>
        <v>179.66921005079408</v>
      </c>
      <c r="AF91" s="159" t="str">
        <f t="shared" si="24"/>
        <v>11.1424826178486-1.24073347703006j</v>
      </c>
      <c r="AG91" s="159">
        <f t="shared" si="25"/>
        <v>20.993157165462414</v>
      </c>
      <c r="AH91" s="159">
        <f t="shared" si="26"/>
        <v>173.64619658742819</v>
      </c>
      <c r="AJ91" s="159" t="str">
        <f t="shared" si="27"/>
        <v>157471.799756514-2107.30707192436j</v>
      </c>
      <c r="AK91" s="159" t="str">
        <f t="shared" si="28"/>
        <v>30000-1.96075069579896E-06j</v>
      </c>
      <c r="AL91" s="159" t="str">
        <f t="shared" si="43"/>
        <v>10000-10200174.8834522j</v>
      </c>
      <c r="AM91" s="159" t="str">
        <f t="shared" si="44"/>
        <v>963.138679806378-3165572.16675235j</v>
      </c>
      <c r="AN91" s="159" t="str">
        <f t="shared" si="45"/>
        <v>10963.1386798064-3165572.16675235j</v>
      </c>
      <c r="AO91" s="159" t="str">
        <f t="shared" si="46"/>
        <v>29996.3216031153-284.261195172124j</v>
      </c>
      <c r="AP91" s="159" t="str">
        <f t="shared" si="47"/>
        <v>0.160003850945181+0.00179854914404624j</v>
      </c>
      <c r="AQ91" s="159" t="str">
        <f t="shared" si="29"/>
        <v>1+0.217643327233685j</v>
      </c>
      <c r="AR91" s="159">
        <f t="shared" si="30"/>
        <v>9.2887594911509175E-8</v>
      </c>
      <c r="AS91" s="159" t="str">
        <f t="shared" si="31"/>
        <v>5.93669559838357E-06j</v>
      </c>
      <c r="AT91" s="159" t="str">
        <f t="shared" si="32"/>
        <v>9.28875949115092E-08+5.93669559838357E-06j</v>
      </c>
      <c r="AU91" s="159" t="str">
        <f t="shared" si="33"/>
        <v>5.8929897713934-25.1743772064024j</v>
      </c>
      <c r="AW91" s="159" t="str">
        <f t="shared" si="48"/>
        <v>0.98209127816334-4.01888635825576j</v>
      </c>
      <c r="AX91" s="159">
        <f t="shared" si="34"/>
        <v>12.334010304242646</v>
      </c>
      <c r="AY91" s="159">
        <f t="shared" si="35"/>
        <v>103.73218982141759</v>
      </c>
      <c r="AZ91" s="159" t="str">
        <f t="shared" si="36"/>
        <v>13.5381879152329-56.8212065875839j</v>
      </c>
      <c r="BA91" s="159">
        <f t="shared" si="37"/>
        <v>35.330003734445619</v>
      </c>
      <c r="BB91" s="159">
        <f t="shared" si="38"/>
        <v>103.40139987221163</v>
      </c>
      <c r="BD91" s="159" t="str">
        <f t="shared" si="39"/>
        <v>5.95656815100841-45.9988849162902j</v>
      </c>
      <c r="BE91" s="159">
        <f t="shared" si="40"/>
        <v>33.327167469705067</v>
      </c>
      <c r="BF91" s="159">
        <f t="shared" si="41"/>
        <v>97.378386408845813</v>
      </c>
      <c r="BH91" s="159">
        <f t="shared" si="49"/>
        <v>-32.327167469705067</v>
      </c>
      <c r="BI91" s="169">
        <f t="shared" si="50"/>
        <v>-97.378386408845813</v>
      </c>
      <c r="BN91" s="165"/>
      <c r="BO91" s="165"/>
      <c r="BP91" s="165"/>
    </row>
    <row r="92" spans="1:68" s="159" customFormat="1">
      <c r="A92" s="159">
        <v>28</v>
      </c>
      <c r="B92" s="159">
        <f t="shared" si="42"/>
        <v>363.0780547701014</v>
      </c>
      <c r="C92" s="159" t="str">
        <f t="shared" si="0"/>
        <v>2281.28669909085j</v>
      </c>
      <c r="D92" s="159">
        <f t="shared" si="1"/>
        <v>0.9999978907892183</v>
      </c>
      <c r="E92" s="159" t="str">
        <f t="shared" si="2"/>
        <v>-0.00228128669909085j</v>
      </c>
      <c r="F92" s="159" t="str">
        <f t="shared" si="3"/>
        <v>0.999997890789218-0.00228128669909085j</v>
      </c>
      <c r="G92" s="159">
        <f t="shared" si="4"/>
        <v>4.2814982396590421E-6</v>
      </c>
      <c r="H92" s="159">
        <f t="shared" si="5"/>
        <v>-0.13070814866132074</v>
      </c>
      <c r="J92" s="159">
        <f t="shared" si="6"/>
        <v>6.3936063936063938</v>
      </c>
      <c r="K92" s="159" t="str">
        <f t="shared" si="7"/>
        <v>1+0.558995086311726j</v>
      </c>
      <c r="L92" s="159">
        <f t="shared" si="8"/>
        <v>0.99694251015721858</v>
      </c>
      <c r="M92" s="159" t="str">
        <f t="shared" si="9"/>
        <v>0.00610829896983492j</v>
      </c>
      <c r="N92" s="159" t="str">
        <f t="shared" si="10"/>
        <v>0.996942510157219+0.00610829896983492j</v>
      </c>
      <c r="O92" s="159" t="str">
        <f t="shared" si="11"/>
        <v>1.0064645684631+0.554542808830394j</v>
      </c>
      <c r="P92" s="159" t="str">
        <f t="shared" si="12"/>
        <v>6.43493829986398+3.54552844806646j</v>
      </c>
      <c r="R92" s="159">
        <f t="shared" si="13"/>
        <v>31.968031968031973</v>
      </c>
      <c r="S92" s="159" t="str">
        <f t="shared" si="14"/>
        <v>1+0.0000798450344681797j</v>
      </c>
      <c r="T92" s="159" t="str">
        <f t="shared" si="15"/>
        <v>0.996942510157219+0.00610829896983492j</v>
      </c>
      <c r="U92" s="159" t="str">
        <f t="shared" si="16"/>
        <v>1.00302970320863-0.00606550548978128j</v>
      </c>
      <c r="V92" s="159" t="str">
        <f t="shared" si="17"/>
        <v>32.0648856170591-0.193902273399601j</v>
      </c>
      <c r="X92" s="159" t="str">
        <f t="shared" si="18"/>
        <v>0.252555897545042+0.138403370062785j</v>
      </c>
      <c r="Y92" s="159">
        <f t="shared" si="19"/>
        <v>-10.812361039126792</v>
      </c>
      <c r="Z92" s="159">
        <f t="shared" si="20"/>
        <v>-151.27678098261646</v>
      </c>
      <c r="AB92" s="159" t="str">
        <f t="shared" si="21"/>
        <v>14.1223896133271-0.0854006929749399j</v>
      </c>
      <c r="AC92" s="159">
        <f t="shared" si="22"/>
        <v>22.99832258758769</v>
      </c>
      <c r="AD92" s="159">
        <f t="shared" si="23"/>
        <v>179.65352608404777</v>
      </c>
      <c r="AF92" s="159" t="str">
        <f t="shared" si="24"/>
        <v>11.1314146020958-1.29816640571334j</v>
      </c>
      <c r="AG92" s="159">
        <f t="shared" si="25"/>
        <v>20.989676027562538</v>
      </c>
      <c r="AH92" s="159">
        <f t="shared" si="26"/>
        <v>173.34810706416241</v>
      </c>
      <c r="AJ92" s="159" t="str">
        <f t="shared" si="27"/>
        <v>157469.079582021-2206.58327725077j</v>
      </c>
      <c r="AK92" s="159" t="str">
        <f t="shared" si="28"/>
        <v>30000-2.05315802918177E-06j</v>
      </c>
      <c r="AL92" s="159" t="str">
        <f t="shared" si="43"/>
        <v>10000-9741091.38981891j</v>
      </c>
      <c r="AM92" s="159" t="str">
        <f t="shared" si="44"/>
        <v>963.138637328134-3023098.00976304j</v>
      </c>
      <c r="AN92" s="159" t="str">
        <f t="shared" si="45"/>
        <v>10963.1386373281-3023098.00976304j</v>
      </c>
      <c r="AO92" s="159" t="str">
        <f t="shared" si="46"/>
        <v>29995.9667833298-297.65319883334j</v>
      </c>
      <c r="AP92" s="159" t="str">
        <f t="shared" si="47"/>
        <v>0.160004222475558+0.00188331132081418j</v>
      </c>
      <c r="AQ92" s="159" t="str">
        <f t="shared" si="29"/>
        <v>1+0.227900541239176j</v>
      </c>
      <c r="AR92" s="159">
        <f t="shared" si="30"/>
        <v>9.2201402898331918E-8</v>
      </c>
      <c r="AS92" s="159" t="str">
        <f t="shared" si="31"/>
        <v>6.21648344215558E-06j</v>
      </c>
      <c r="AT92" s="159" t="str">
        <f t="shared" si="32"/>
        <v>9.22014028983319E-08+6.21648344215558E-06j</v>
      </c>
      <c r="AU92" s="159" t="str">
        <f t="shared" si="33"/>
        <v>5.85569608704453-24.0425472047911j</v>
      </c>
      <c r="AW92" s="159" t="str">
        <f t="shared" si="48"/>
        <v>0.976129490724405-3.83742953140125j</v>
      </c>
      <c r="AX92" s="159">
        <f t="shared" si="34"/>
        <v>11.953098893942833</v>
      </c>
      <c r="AY92" s="159">
        <f t="shared" si="35"/>
        <v>104.27168988594154</v>
      </c>
      <c r="AZ92" s="159" t="str">
        <f t="shared" si="36"/>
        <v>13.4575618398444-54.2770370910767j</v>
      </c>
      <c r="BA92" s="159">
        <f t="shared" si="37"/>
        <v>34.951421481530502</v>
      </c>
      <c r="BB92" s="159">
        <f t="shared" si="38"/>
        <v>103.92521596998931</v>
      </c>
      <c r="BD92" s="159" t="str">
        <f t="shared" si="39"/>
        <v>5.88407996462857-43.9831976328379j</v>
      </c>
      <c r="BE92" s="159">
        <f t="shared" si="40"/>
        <v>32.942774921505354</v>
      </c>
      <c r="BF92" s="159">
        <f t="shared" si="41"/>
        <v>97.619796950103932</v>
      </c>
      <c r="BH92" s="159">
        <f t="shared" si="49"/>
        <v>-31.942774921505354</v>
      </c>
      <c r="BI92" s="169">
        <f t="shared" si="50"/>
        <v>-97.619796950103932</v>
      </c>
      <c r="BN92" s="165"/>
      <c r="BO92" s="165"/>
      <c r="BP92" s="165"/>
    </row>
    <row r="93" spans="1:68" s="159" customFormat="1">
      <c r="A93" s="159">
        <v>29</v>
      </c>
      <c r="B93" s="159">
        <f t="shared" si="42"/>
        <v>380.18939632056117</v>
      </c>
      <c r="C93" s="159" t="str">
        <f t="shared" si="0"/>
        <v>2388.80042890683j</v>
      </c>
      <c r="D93" s="159">
        <f t="shared" si="1"/>
        <v>0.99999768729636684</v>
      </c>
      <c r="E93" s="159" t="str">
        <f t="shared" si="2"/>
        <v>-0.00238880042890683j</v>
      </c>
      <c r="F93" s="159" t="str">
        <f t="shared" si="3"/>
        <v>0.999997687296367-0.00238880042890683j</v>
      </c>
      <c r="G93" s="159">
        <f t="shared" si="4"/>
        <v>4.6945712915333445E-6</v>
      </c>
      <c r="H93" s="159">
        <f t="shared" si="5"/>
        <v>-0.13686823887071339</v>
      </c>
      <c r="J93" s="159">
        <f t="shared" si="6"/>
        <v>6.3936063936063938</v>
      </c>
      <c r="K93" s="159" t="str">
        <f t="shared" si="7"/>
        <v>1+0.585339713097185j</v>
      </c>
      <c r="L93" s="159">
        <f t="shared" si="8"/>
        <v>0.9966475290524609</v>
      </c>
      <c r="M93" s="159" t="str">
        <f t="shared" si="9"/>
        <v>0.00639617423134404j</v>
      </c>
      <c r="N93" s="159" t="str">
        <f t="shared" si="10"/>
        <v>0.996647529052461+0.00639617423134404j</v>
      </c>
      <c r="O93" s="159" t="str">
        <f t="shared" si="11"/>
        <v>1.00709143346108+0.580845448312351j</v>
      </c>
      <c r="P93" s="159" t="str">
        <f t="shared" si="12"/>
        <v>6.43894622792299+3.71369717202702j</v>
      </c>
      <c r="R93" s="159">
        <f t="shared" si="13"/>
        <v>31.968031968031973</v>
      </c>
      <c r="S93" s="159" t="str">
        <f t="shared" si="14"/>
        <v>1+0.000083608015011739j</v>
      </c>
      <c r="T93" s="159" t="str">
        <f t="shared" si="15"/>
        <v>0.996647529052461+0.00639617423134404j</v>
      </c>
      <c r="U93" s="159" t="str">
        <f t="shared" si="16"/>
        <v>1.00332296259096-0.00635512583877074j</v>
      </c>
      <c r="V93" s="159" t="str">
        <f t="shared" si="17"/>
        <v>32.0742605423684-0.203160865974689j</v>
      </c>
      <c r="X93" s="159" t="str">
        <f t="shared" si="18"/>
        <v>0.252743639285266+0.144967779387503j</v>
      </c>
      <c r="Y93" s="159">
        <f t="shared" si="19"/>
        <v>-10.711178655426085</v>
      </c>
      <c r="Z93" s="159">
        <f t="shared" si="20"/>
        <v>-150.1624363437366</v>
      </c>
      <c r="AB93" s="159" t="str">
        <f t="shared" si="21"/>
        <v>14.1265186268965-0.089478469929394j</v>
      </c>
      <c r="AC93" s="159">
        <f t="shared" si="22"/>
        <v>23.000877167044528</v>
      </c>
      <c r="AD93" s="159">
        <f t="shared" si="23"/>
        <v>179.63708892057679</v>
      </c>
      <c r="AF93" s="159" t="str">
        <f t="shared" si="24"/>
        <v>11.1192982032788-1.35815372391505j</v>
      </c>
      <c r="AG93" s="159">
        <f t="shared" si="25"/>
        <v>20.985861877497527</v>
      </c>
      <c r="AH93" s="159">
        <f t="shared" si="26"/>
        <v>173.03616845904881</v>
      </c>
      <c r="AJ93" s="159" t="str">
        <f t="shared" si="27"/>
        <v>157466.097078012-2310.53258036339j</v>
      </c>
      <c r="AK93" s="159" t="str">
        <f t="shared" si="28"/>
        <v>30000-2.14992038601615E-06j</v>
      </c>
      <c r="AL93" s="159" t="str">
        <f t="shared" si="43"/>
        <v>10000-9302670.05703431j</v>
      </c>
      <c r="AM93" s="159" t="str">
        <f t="shared" si="44"/>
        <v>963.138590751671-2887036.24896626j</v>
      </c>
      <c r="AN93" s="159" t="str">
        <f t="shared" si="45"/>
        <v>10963.1385907517-2887036.24896626j</v>
      </c>
      <c r="AO93" s="159" t="str">
        <f t="shared" si="46"/>
        <v>29995.5777443787-311.675635198041j</v>
      </c>
      <c r="AP93" s="159" t="str">
        <f t="shared" si="47"/>
        <v>0.160004629850138+0.00197206809249333j</v>
      </c>
      <c r="AQ93" s="159" t="str">
        <f t="shared" si="29"/>
        <v>1+0.238641162847792j</v>
      </c>
      <c r="AR93" s="159">
        <f t="shared" si="30"/>
        <v>9.1449008317515531E-8</v>
      </c>
      <c r="AS93" s="159" t="str">
        <f t="shared" si="31"/>
        <v>6.50945728076682E-06j</v>
      </c>
      <c r="AT93" s="159" t="str">
        <f t="shared" si="32"/>
        <v>9.14490083175155E-08+6.50945728076682E-06j</v>
      </c>
      <c r="AU93" s="159" t="str">
        <f t="shared" si="33"/>
        <v>5.82168207977344-22.9616090098155j</v>
      </c>
      <c r="AW93" s="159" t="str">
        <f t="shared" si="48"/>
        <v>0.970692773189965-3.6640955072211j</v>
      </c>
      <c r="AX93" s="159">
        <f t="shared" si="34"/>
        <v>11.573914935121664</v>
      </c>
      <c r="AY93" s="159">
        <f t="shared" si="35"/>
        <v>104.83795271863896</v>
      </c>
      <c r="AZ93" s="159" t="str">
        <f t="shared" si="36"/>
        <v>13.3846518818005-51.847769537603j</v>
      </c>
      <c r="BA93" s="159">
        <f t="shared" si="37"/>
        <v>34.574792102166157</v>
      </c>
      <c r="BB93" s="159">
        <f t="shared" si="38"/>
        <v>104.47504163921576</v>
      </c>
      <c r="BD93" s="159" t="str">
        <f t="shared" si="39"/>
        <v>5.81701745095416-42.0605205947708j</v>
      </c>
      <c r="BE93" s="159">
        <f t="shared" si="40"/>
        <v>32.559776812619177</v>
      </c>
      <c r="BF93" s="159">
        <f t="shared" si="41"/>
        <v>97.874121177687798</v>
      </c>
      <c r="BH93" s="159">
        <f t="shared" si="49"/>
        <v>-31.559776812619177</v>
      </c>
      <c r="BI93" s="169">
        <f t="shared" si="50"/>
        <v>-97.874121177687798</v>
      </c>
      <c r="BN93" s="165"/>
      <c r="BO93" s="165"/>
      <c r="BP93" s="165"/>
    </row>
    <row r="94" spans="1:68" s="159" customFormat="1">
      <c r="A94" s="159">
        <v>30</v>
      </c>
      <c r="B94" s="159">
        <f t="shared" si="42"/>
        <v>398.10717055349727</v>
      </c>
      <c r="C94" s="159" t="str">
        <f t="shared" si="0"/>
        <v>2501.38112470457j</v>
      </c>
      <c r="D94" s="159">
        <f t="shared" si="1"/>
        <v>0.99999746417089208</v>
      </c>
      <c r="E94" s="159" t="str">
        <f t="shared" si="2"/>
        <v>-0.00250138112470457j</v>
      </c>
      <c r="F94" s="159" t="str">
        <f t="shared" si="3"/>
        <v>0.999997464170892-0.00250138112470457j</v>
      </c>
      <c r="G94" s="159">
        <f t="shared" si="4"/>
        <v>5.1474972485264746E-6</v>
      </c>
      <c r="H94" s="159">
        <f t="shared" si="5"/>
        <v>-0.14331864592008872</v>
      </c>
      <c r="J94" s="159">
        <f t="shared" si="6"/>
        <v>6.3936063936063938</v>
      </c>
      <c r="K94" s="159" t="str">
        <f t="shared" si="7"/>
        <v>1+0.612925923891984j</v>
      </c>
      <c r="L94" s="159">
        <f t="shared" si="8"/>
        <v>0.99632408870281997</v>
      </c>
      <c r="M94" s="159" t="str">
        <f t="shared" si="9"/>
        <v>0.00669761663594785j</v>
      </c>
      <c r="N94" s="159" t="str">
        <f t="shared" si="10"/>
        <v>0.99632408870282+0.00669761663594785j</v>
      </c>
      <c r="O94" s="159" t="str">
        <f t="shared" si="11"/>
        <v>1.00777942261619+0.608412674689944j</v>
      </c>
      <c r="P94" s="159" t="str">
        <f t="shared" si="12"/>
        <v>6.44334495978383+3.88995116684879j</v>
      </c>
      <c r="R94" s="159">
        <f t="shared" si="13"/>
        <v>31.968031968031973</v>
      </c>
      <c r="S94" s="159" t="str">
        <f t="shared" si="14"/>
        <v>1+0.0000875483393646599j</v>
      </c>
      <c r="T94" s="159" t="str">
        <f t="shared" si="15"/>
        <v>0.99632408870282+0.00669761663594785j</v>
      </c>
      <c r="U94" s="159" t="str">
        <f t="shared" si="16"/>
        <v>1.00364470978655-0.0066589569003803j</v>
      </c>
      <c r="V94" s="159" t="str">
        <f t="shared" si="17"/>
        <v>32.0845461670026-0.212873747065105j</v>
      </c>
      <c r="X94" s="159" t="str">
        <f t="shared" si="18"/>
        <v>0.252949676070396+0.151847760255899j</v>
      </c>
      <c r="Y94" s="159">
        <f t="shared" si="19"/>
        <v>-10.602747264246686</v>
      </c>
      <c r="Z94" s="159">
        <f t="shared" si="20"/>
        <v>-149.02326174401045</v>
      </c>
      <c r="AB94" s="159" t="str">
        <f t="shared" si="21"/>
        <v>14.1310487412476-0.0937563299119599j</v>
      </c>
      <c r="AC94" s="159">
        <f t="shared" si="22"/>
        <v>23.003679060818335</v>
      </c>
      <c r="AD94" s="159">
        <f t="shared" si="23"/>
        <v>179.61986096829921</v>
      </c>
      <c r="AF94" s="159" t="str">
        <f t="shared" si="24"/>
        <v>11.1060361491273-1.42079373056797j</v>
      </c>
      <c r="AG94" s="159">
        <f t="shared" si="25"/>
        <v>20.98168315600876</v>
      </c>
      <c r="AH94" s="159">
        <f t="shared" si="26"/>
        <v>172.70975726051361</v>
      </c>
      <c r="AJ94" s="159" t="str">
        <f t="shared" si="27"/>
        <v>157462.826957249-2419.37438156598j</v>
      </c>
      <c r="AK94" s="159" t="str">
        <f t="shared" si="28"/>
        <v>30000-2.25124301223411E-06j</v>
      </c>
      <c r="AL94" s="159" t="str">
        <f t="shared" si="43"/>
        <v>10000-8883980.93467134j</v>
      </c>
      <c r="AM94" s="159" t="str">
        <f t="shared" si="44"/>
        <v>963.138539681609-2757098.27912521j</v>
      </c>
      <c r="AN94" s="159" t="str">
        <f t="shared" si="45"/>
        <v>10963.1385396816-2757098.27912521j</v>
      </c>
      <c r="AO94" s="159" t="str">
        <f t="shared" si="46"/>
        <v>29995.1511875293-326.35811006152j</v>
      </c>
      <c r="AP94" s="159" t="str">
        <f t="shared" si="47"/>
        <v>0.160005076527028+0.00206500770025859j</v>
      </c>
      <c r="AQ94" s="159" t="str">
        <f t="shared" si="29"/>
        <v>1+0.249887974357987j</v>
      </c>
      <c r="AR94" s="159">
        <f t="shared" si="30"/>
        <v>9.0624024064754093E-8</v>
      </c>
      <c r="AS94" s="159" t="str">
        <f t="shared" si="31"/>
        <v>6.81623855100871E-06j</v>
      </c>
      <c r="AT94" s="159" t="str">
        <f t="shared" si="32"/>
        <v>9.06240240647541E-08+6.81623855100871E-06j</v>
      </c>
      <c r="AU94" s="159" t="str">
        <f t="shared" si="33"/>
        <v>5.79065943305647-21.9292834341996j</v>
      </c>
      <c r="AW94" s="159" t="str">
        <f t="shared" si="48"/>
        <v>0.965735041792678-3.49851880149014j</v>
      </c>
      <c r="AX94" s="159">
        <f t="shared" si="34"/>
        <v>11.196608870775638</v>
      </c>
      <c r="AY94" s="159">
        <f t="shared" si="35"/>
        <v>105.43169416153603</v>
      </c>
      <c r="AZ94" s="159" t="str">
        <f t="shared" si="36"/>
        <v>13.3188406637474-49.528283479214j</v>
      </c>
      <c r="BA94" s="159">
        <f t="shared" si="37"/>
        <v>34.200287931593948</v>
      </c>
      <c r="BB94" s="159">
        <f t="shared" si="38"/>
        <v>105.05155512983525</v>
      </c>
      <c r="BD94" s="159" t="str">
        <f t="shared" si="39"/>
        <v>5.75481470519711-40.2267865705198j</v>
      </c>
      <c r="BE94" s="159">
        <f t="shared" si="40"/>
        <v>32.178292026784383</v>
      </c>
      <c r="BF94" s="159">
        <f t="shared" si="41"/>
        <v>98.141451422049698</v>
      </c>
      <c r="BH94" s="159">
        <f t="shared" si="49"/>
        <v>-31.178292026784383</v>
      </c>
      <c r="BI94" s="169">
        <f t="shared" si="50"/>
        <v>-98.141451422049698</v>
      </c>
      <c r="BN94" s="165"/>
      <c r="BO94" s="165"/>
      <c r="BP94" s="165"/>
    </row>
    <row r="95" spans="1:68" s="159" customFormat="1">
      <c r="A95" s="159">
        <v>31</v>
      </c>
      <c r="B95" s="159">
        <f t="shared" si="42"/>
        <v>416.86938347033549</v>
      </c>
      <c r="C95" s="159" t="str">
        <f t="shared" si="0"/>
        <v>2619.26758523382j</v>
      </c>
      <c r="D95" s="159">
        <f t="shared" si="1"/>
        <v>0.99999721951867404</v>
      </c>
      <c r="E95" s="159" t="str">
        <f t="shared" si="2"/>
        <v>-0.00261926758523382j</v>
      </c>
      <c r="F95" s="159" t="str">
        <f t="shared" si="3"/>
        <v>0.999997219518674-0.00261926758523382j</v>
      </c>
      <c r="G95" s="159">
        <f t="shared" si="4"/>
        <v>5.6441211300979781E-6</v>
      </c>
      <c r="H95" s="159">
        <f t="shared" si="5"/>
        <v>-0.15007305212911939</v>
      </c>
      <c r="J95" s="159">
        <f t="shared" si="6"/>
        <v>6.3936063936063938</v>
      </c>
      <c r="K95" s="159" t="str">
        <f t="shared" si="7"/>
        <v>1+0.641812232747769j</v>
      </c>
      <c r="L95" s="159">
        <f t="shared" si="8"/>
        <v>0.9959694434116857</v>
      </c>
      <c r="M95" s="159" t="str">
        <f t="shared" si="9"/>
        <v>0.00701326558340162j</v>
      </c>
      <c r="N95" s="159" t="str">
        <f t="shared" si="10"/>
        <v>0.995969443411686+0.00701326558340162j</v>
      </c>
      <c r="O95" s="159" t="str">
        <f t="shared" si="11"/>
        <v>1.00853456461447+0.637307817217558j</v>
      </c>
      <c r="P95" s="159" t="str">
        <f t="shared" si="12"/>
        <v>6.44817304049212+4.07469533485751j</v>
      </c>
      <c r="R95" s="159">
        <f t="shared" si="13"/>
        <v>31.968031968031973</v>
      </c>
      <c r="S95" s="159" t="str">
        <f t="shared" si="14"/>
        <v>1+0.0000916743654831837j</v>
      </c>
      <c r="T95" s="159" t="str">
        <f t="shared" si="15"/>
        <v>0.995969443411686+0.00701326558340162j</v>
      </c>
      <c r="U95" s="159" t="str">
        <f t="shared" si="16"/>
        <v>1.00399773284456-0.00697775260682992j</v>
      </c>
      <c r="V95" s="159" t="str">
        <f t="shared" si="17"/>
        <v>32.0958316194065-0.223065018400157j</v>
      </c>
      <c r="X95" s="159" t="str">
        <f t="shared" si="18"/>
        <v>0.253175810072722+0.159059111121194j</v>
      </c>
      <c r="Y95" s="159">
        <f t="shared" si="19"/>
        <v>-10.486732093010133</v>
      </c>
      <c r="Z95" s="159">
        <f t="shared" si="20"/>
        <v>-147.86067905943483</v>
      </c>
      <c r="AB95" s="159" t="str">
        <f t="shared" si="21"/>
        <v>14.136019211366-0.0982448880863938j</v>
      </c>
      <c r="AC95" s="159">
        <f t="shared" si="22"/>
        <v>23.006752302547042</v>
      </c>
      <c r="AD95" s="159">
        <f t="shared" si="23"/>
        <v>179.60180254897105</v>
      </c>
      <c r="AF95" s="159" t="str">
        <f t="shared" si="24"/>
        <v>11.0915225480609-1.48618620834499j</v>
      </c>
      <c r="AG95" s="159">
        <f t="shared" si="25"/>
        <v>20.977105372404949</v>
      </c>
      <c r="AH95" s="159">
        <f t="shared" si="26"/>
        <v>172.3682247989191</v>
      </c>
      <c r="AJ95" s="159" t="str">
        <f t="shared" si="27"/>
        <v>157459.24149724-2533.33829742835j</v>
      </c>
      <c r="AK95" s="159" t="str">
        <f t="shared" si="28"/>
        <v>30000-2.35734082671044E-06j</v>
      </c>
      <c r="AL95" s="159" t="str">
        <f t="shared" si="43"/>
        <v>10000-8484135.92696694j</v>
      </c>
      <c r="AM95" s="159" t="str">
        <f t="shared" si="44"/>
        <v>963.138483684393-2633008.4843848j</v>
      </c>
      <c r="AN95" s="159" t="str">
        <f t="shared" si="45"/>
        <v>10963.1384836844-2633008.4843848j</v>
      </c>
      <c r="AO95" s="159" t="str">
        <f t="shared" si="46"/>
        <v>29994.6834963327-341.731608867319j</v>
      </c>
      <c r="AP95" s="159" t="str">
        <f t="shared" si="47"/>
        <v>0.160005566297952+0.00216232725410941j</v>
      </c>
      <c r="AQ95" s="159" t="str">
        <f t="shared" si="29"/>
        <v>1+0.261664831764859j</v>
      </c>
      <c r="AR95" s="159">
        <f t="shared" si="30"/>
        <v>8.9719446819439672E-8</v>
      </c>
      <c r="AS95" s="159" t="str">
        <f t="shared" si="31"/>
        <v>7.13747797708631E-06j</v>
      </c>
      <c r="AT95" s="159" t="str">
        <f t="shared" si="32"/>
        <v>8.97194468194397E-08+7.13747797708631E-06j</v>
      </c>
      <c r="AU95" s="159" t="str">
        <f t="shared" si="33"/>
        <v>5.76236515189425-20.9433926473877j</v>
      </c>
      <c r="AW95" s="159" t="str">
        <f t="shared" si="48"/>
        <v>0.961214267338234-3.34035010325893j</v>
      </c>
      <c r="AX95" s="159">
        <f t="shared" si="34"/>
        <v>10.821342188350442</v>
      </c>
      <c r="AY95" s="159">
        <f t="shared" si="35"/>
        <v>106.05362466474342</v>
      </c>
      <c r="AZ95" s="159" t="str">
        <f t="shared" si="36"/>
        <v>13.2595710272683-47.3136876204783j</v>
      </c>
      <c r="BA95" s="159">
        <f t="shared" si="37"/>
        <v>33.828094490897477</v>
      </c>
      <c r="BB95" s="159">
        <f t="shared" si="38"/>
        <v>105.65542721371446</v>
      </c>
      <c r="BD95" s="159" t="str">
        <f t="shared" si="39"/>
        <v>5.69694746519265-38.4781118760965j</v>
      </c>
      <c r="BE95" s="159">
        <f t="shared" si="40"/>
        <v>31.798447560755395</v>
      </c>
      <c r="BF95" s="159">
        <f t="shared" si="41"/>
        <v>98.421849463662483</v>
      </c>
      <c r="BH95" s="159">
        <f t="shared" si="49"/>
        <v>-30.798447560755395</v>
      </c>
      <c r="BI95" s="169">
        <f t="shared" si="50"/>
        <v>-98.421849463662483</v>
      </c>
      <c r="BN95" s="165"/>
      <c r="BO95" s="165"/>
      <c r="BP95" s="165"/>
    </row>
    <row r="96" spans="1:68" s="159" customFormat="1">
      <c r="A96" s="159">
        <v>32</v>
      </c>
      <c r="B96" s="159">
        <f t="shared" si="42"/>
        <v>436.51583224016599</v>
      </c>
      <c r="C96" s="159" t="str">
        <f t="shared" si="0"/>
        <v>2742.70986348268j</v>
      </c>
      <c r="D96" s="159">
        <f t="shared" si="1"/>
        <v>0.99999695126285126</v>
      </c>
      <c r="E96" s="159" t="str">
        <f t="shared" si="2"/>
        <v>-0.00274270986348268j</v>
      </c>
      <c r="F96" s="159" t="str">
        <f t="shared" si="3"/>
        <v>0.999996951262851-0.00274270986348268j</v>
      </c>
      <c r="G96" s="159">
        <f t="shared" si="4"/>
        <v>6.18865891721699E-6</v>
      </c>
      <c r="H96" s="159">
        <f t="shared" si="5"/>
        <v>-0.15714578466141704</v>
      </c>
      <c r="J96" s="159">
        <f t="shared" si="6"/>
        <v>6.3936063936063938</v>
      </c>
      <c r="K96" s="159" t="str">
        <f t="shared" si="7"/>
        <v>1+0.672059911398478j</v>
      </c>
      <c r="L96" s="159">
        <f t="shared" si="8"/>
        <v>0.99558058258259208</v>
      </c>
      <c r="M96" s="159" t="str">
        <f t="shared" si="9"/>
        <v>0.00734379060744269j</v>
      </c>
      <c r="N96" s="159" t="str">
        <f t="shared" si="10"/>
        <v>0.995580582582592+0.00734379060744269j</v>
      </c>
      <c r="O96" s="159" t="str">
        <f t="shared" si="11"/>
        <v>1.00936349670647+0.667597750357622j</v>
      </c>
      <c r="P96" s="159" t="str">
        <f t="shared" si="12"/>
        <v>6.45347290601539+4.26835724504374j</v>
      </c>
      <c r="R96" s="159">
        <f t="shared" si="13"/>
        <v>31.968031968031973</v>
      </c>
      <c r="S96" s="159" t="str">
        <f t="shared" si="14"/>
        <v>1+0.0000959948452218938j</v>
      </c>
      <c r="T96" s="159" t="str">
        <f t="shared" si="15"/>
        <v>0.995580582582592+0.00734379060744269j</v>
      </c>
      <c r="U96" s="159" t="str">
        <f t="shared" si="16"/>
        <v>1.00438509687948-0.00731231516851437j</v>
      </c>
      <c r="V96" s="159" t="str">
        <f t="shared" si="17"/>
        <v>32.1082148852581-0.233760325067392j</v>
      </c>
      <c r="X96" s="159" t="str">
        <f t="shared" si="18"/>
        <v>0.253424024926879+0.166618514118245j</v>
      </c>
      <c r="Y96" s="159">
        <f t="shared" si="19"/>
        <v>-10.362807887802381</v>
      </c>
      <c r="Z96" s="159">
        <f t="shared" si="20"/>
        <v>-146.67630867166429</v>
      </c>
      <c r="AB96" s="159" t="str">
        <f t="shared" si="21"/>
        <v>14.1414731932429-0.102955439360226j</v>
      </c>
      <c r="AC96" s="159">
        <f t="shared" si="22"/>
        <v>23.010123279829511</v>
      </c>
      <c r="AD96" s="159">
        <f t="shared" si="23"/>
        <v>179.58287175219792</v>
      </c>
      <c r="AF96" s="159" t="str">
        <f t="shared" si="24"/>
        <v>11.0756422067405-1.55443205811083j</v>
      </c>
      <c r="AG96" s="159">
        <f t="shared" si="25"/>
        <v>20.972090844113534</v>
      </c>
      <c r="AH96" s="159">
        <f t="shared" si="26"/>
        <v>172.01089666293993</v>
      </c>
      <c r="AJ96" s="159" t="str">
        <f t="shared" si="27"/>
        <v>157455.310306185-2652.66462395741j</v>
      </c>
      <c r="AK96" s="159" t="str">
        <f t="shared" si="28"/>
        <v>30000-2.46843887713441E-06j</v>
      </c>
      <c r="AL96" s="159" t="str">
        <f t="shared" si="43"/>
        <v>10000-8102286.9090515j</v>
      </c>
      <c r="AM96" s="159" t="str">
        <f t="shared" si="44"/>
        <v>963.138422284679-2514503.65365335j</v>
      </c>
      <c r="AN96" s="159" t="str">
        <f t="shared" si="45"/>
        <v>10963.1384222847-2514503.65365335j</v>
      </c>
      <c r="AO96" s="159" t="str">
        <f t="shared" si="46"/>
        <v>29994.1707060809-357.828559415704j</v>
      </c>
      <c r="AP96" s="159" t="str">
        <f t="shared" si="47"/>
        <v>0.160006103320436+0.00226423315044342j</v>
      </c>
      <c r="AQ96" s="159" t="str">
        <f t="shared" si="29"/>
        <v>1+0.27399671536192j</v>
      </c>
      <c r="AR96" s="159">
        <f t="shared" ref="AR96:AR127" si="51">(IMPRODUCT(C96,C96))*_res1*_Cap1*_cap2 + (1/Roerr)</f>
        <v>8.8727597593225089E-8</v>
      </c>
      <c r="AS96" s="159" t="str">
        <f t="shared" si="31"/>
        <v>7.47385695089167E-06j</v>
      </c>
      <c r="AT96" s="159" t="str">
        <f t="shared" si="32"/>
        <v>8.87275975932251E-08+7.47385695089167E-06j</v>
      </c>
      <c r="AU96" s="159" t="str">
        <f t="shared" si="33"/>
        <v>5.736559342384-20.001855782544j</v>
      </c>
      <c r="AW96" s="159" t="str">
        <f t="shared" si="48"/>
        <v>0.957092120361012-3.18925557015719j</v>
      </c>
      <c r="AX96" s="159">
        <f t="shared" si="34"/>
        <v>10.448287921630165</v>
      </c>
      <c r="AY96" s="159">
        <f t="shared" si="35"/>
        <v>106.70444329094799</v>
      </c>
      <c r="AZ96" s="159" t="str">
        <f t="shared" si="36"/>
        <v>13.2063413550917-45.1993099915386j</v>
      </c>
      <c r="BA96" s="159">
        <f t="shared" si="37"/>
        <v>33.458411201459697</v>
      </c>
      <c r="BB96" s="159">
        <f t="shared" si="38"/>
        <v>106.2873150431459</v>
      </c>
      <c r="BD96" s="159" t="str">
        <f t="shared" si="39"/>
        <v>5.64292878424833-36.8107882753697j</v>
      </c>
      <c r="BE96" s="159">
        <f t="shared" si="40"/>
        <v>31.420378765743713</v>
      </c>
      <c r="BF96" s="159">
        <f t="shared" si="41"/>
        <v>98.71533995388792</v>
      </c>
      <c r="BH96" s="159">
        <f t="shared" si="49"/>
        <v>-30.420378765743713</v>
      </c>
      <c r="BI96" s="169">
        <f t="shared" si="50"/>
        <v>-98.71533995388792</v>
      </c>
      <c r="BN96" s="165"/>
      <c r="BO96" s="165"/>
      <c r="BP96" s="165"/>
    </row>
    <row r="97" spans="1:68" s="159" customFormat="1">
      <c r="A97" s="159">
        <v>33</v>
      </c>
      <c r="B97" s="159">
        <f t="shared" si="42"/>
        <v>457.08818961487509</v>
      </c>
      <c r="C97" s="159" t="str">
        <f t="shared" si="0"/>
        <v>2871.9697970735j</v>
      </c>
      <c r="D97" s="159">
        <f t="shared" si="1"/>
        <v>0.99999665712619068</v>
      </c>
      <c r="E97" s="159" t="str">
        <f t="shared" si="2"/>
        <v>-0.0028719697970735j</v>
      </c>
      <c r="F97" s="159" t="str">
        <f t="shared" si="3"/>
        <v>0.999996657126191-0.0028719697970735j</v>
      </c>
      <c r="G97" s="159">
        <f t="shared" si="4"/>
        <v>6.7857333748416943E-6</v>
      </c>
      <c r="H97" s="159">
        <f t="shared" si="5"/>
        <v>-0.16455184591747177</v>
      </c>
      <c r="J97" s="159">
        <f t="shared" si="6"/>
        <v>6.3936063936063938</v>
      </c>
      <c r="K97" s="159" t="str">
        <f t="shared" si="7"/>
        <v>1+0.703733119225905j</v>
      </c>
      <c r="L97" s="159">
        <f t="shared" si="8"/>
        <v>0.99515420516215669</v>
      </c>
      <c r="M97" s="159" t="str">
        <f t="shared" si="9"/>
        <v>0.0076898927959613j</v>
      </c>
      <c r="N97" s="159" t="str">
        <f t="shared" si="10"/>
        <v>0.995154205162157+0.0076898927959613j</v>
      </c>
      <c r="O97" s="159" t="str">
        <f t="shared" si="11"/>
        <v>1.01027352897043+0.699353145958038j</v>
      </c>
      <c r="P97" s="159" t="str">
        <f t="shared" si="12"/>
        <v>6.45929129411664+4.47138874538606j</v>
      </c>
      <c r="R97" s="159">
        <f t="shared" si="13"/>
        <v>31.968031968031973</v>
      </c>
      <c r="S97" s="159" t="str">
        <f t="shared" si="14"/>
        <v>1+0.000100518942897572j</v>
      </c>
      <c r="T97" s="159" t="str">
        <f t="shared" si="15"/>
        <v>0.995154205162157+0.0076898927959613j</v>
      </c>
      <c r="U97" s="159" t="str">
        <f t="shared" si="16"/>
        <v>1.00481017245858-0.00766349930899165j</v>
      </c>
      <c r="V97" s="159" t="str">
        <f t="shared" si="17"/>
        <v>32.1218037149596-0.244986990896836j</v>
      </c>
      <c r="X97" s="159" t="str">
        <f t="shared" si="18"/>
        <v>0.253696504800895+0.174543597826275j</v>
      </c>
      <c r="Y97" s="159">
        <f t="shared" si="19"/>
        <v>-10.230662297297396</v>
      </c>
      <c r="Z97" s="159">
        <f t="shared" si="20"/>
        <v>-145.47196664251419</v>
      </c>
      <c r="AB97" s="159" t="str">
        <f t="shared" si="21"/>
        <v>14.1474581435629-0.10790001801226j</v>
      </c>
      <c r="AC97" s="159">
        <f t="shared" si="22"/>
        <v>23.013820968524776</v>
      </c>
      <c r="AD97" s="159">
        <f t="shared" si="23"/>
        <v>179.56302427522121</v>
      </c>
      <c r="AF97" s="159" t="str">
        <f t="shared" si="24"/>
        <v>11.0582699101862-1.62563285936086j</v>
      </c>
      <c r="AG97" s="159">
        <f t="shared" si="25"/>
        <v>20.966598415456168</v>
      </c>
      <c r="AH97" s="159">
        <f t="shared" si="26"/>
        <v>171.63707217152651</v>
      </c>
      <c r="AJ97" s="159" t="str">
        <f t="shared" si="27"/>
        <v>157451.000066518-2777.60481889153j</v>
      </c>
      <c r="AK97" s="159" t="str">
        <f t="shared" si="28"/>
        <v>30000-2.58477281736615E-06j</v>
      </c>
      <c r="AL97" s="159" t="str">
        <f t="shared" si="43"/>
        <v>10000-7737623.92796271j</v>
      </c>
      <c r="AM97" s="159" t="str">
        <f t="shared" si="44"/>
        <v>963.138354961241-2401332.42229666j</v>
      </c>
      <c r="AN97" s="159" t="str">
        <f t="shared" si="45"/>
        <v>10963.1383549612-2401332.42229666j</v>
      </c>
      <c r="AO97" s="159" t="str">
        <f t="shared" si="46"/>
        <v>29993.6084703379-374.682897185707j</v>
      </c>
      <c r="AP97" s="159" t="str">
        <f t="shared" si="47"/>
        <v>0.160006692153091+0.00237094150924998j</v>
      </c>
      <c r="AQ97" s="159" t="str">
        <f t="shared" si="29"/>
        <v>1+0.286909782727643j</v>
      </c>
      <c r="AR97" s="159">
        <f t="shared" si="51"/>
        <v>8.7640056542819344E-8</v>
      </c>
      <c r="AS97" s="159" t="str">
        <f t="shared" si="31"/>
        <v>7.82608897732732E-06j</v>
      </c>
      <c r="AT97" s="159" t="str">
        <f t="shared" si="32"/>
        <v>8.76400565428193E-08+7.82608897732732E-06j</v>
      </c>
      <c r="AU97" s="159" t="str">
        <f t="shared" si="33"/>
        <v>5.71302318535626-19.1026847200579j</v>
      </c>
      <c r="AW97" s="159" t="str">
        <f t="shared" si="48"/>
        <v>0.953333647360195-3.04491615184322j</v>
      </c>
      <c r="AX97" s="159">
        <f t="shared" si="34"/>
        <v>10.077631109252803</v>
      </c>
      <c r="AY97" s="159">
        <f t="shared" si="35"/>
        <v>107.38483100820663</v>
      </c>
      <c r="AZ97" s="159" t="str">
        <f t="shared" si="36"/>
        <v>13.1587013652488-43.1806885265825j</v>
      </c>
      <c r="BA97" s="159">
        <f t="shared" si="37"/>
        <v>33.091452077777589</v>
      </c>
      <c r="BB97" s="159">
        <f t="shared" si="38"/>
        <v>106.9478552834278</v>
      </c>
      <c r="BD97" s="159" t="str">
        <f t="shared" si="39"/>
        <v>5.59230503653636-35.2212751640511j</v>
      </c>
      <c r="BE97" s="159">
        <f t="shared" si="40"/>
        <v>31.044229524709024</v>
      </c>
      <c r="BF97" s="159">
        <f t="shared" si="41"/>
        <v>99.021903179733116</v>
      </c>
      <c r="BH97" s="159">
        <f t="shared" si="49"/>
        <v>-30.044229524709024</v>
      </c>
      <c r="BI97" s="169">
        <f t="shared" si="50"/>
        <v>-99.021903179733116</v>
      </c>
      <c r="BN97" s="165"/>
      <c r="BO97" s="165"/>
      <c r="BP97" s="165"/>
    </row>
    <row r="98" spans="1:68" s="159" customFormat="1">
      <c r="A98" s="159">
        <v>34</v>
      </c>
      <c r="B98" s="159">
        <f t="shared" si="42"/>
        <v>478.6300923226384</v>
      </c>
      <c r="C98" s="159" t="str">
        <f t="shared" si="0"/>
        <v>3007.32156365561j</v>
      </c>
      <c r="D98" s="159">
        <f t="shared" si="1"/>
        <v>0.99999633461175552</v>
      </c>
      <c r="E98" s="159" t="str">
        <f t="shared" si="2"/>
        <v>-0.00300732156365561j</v>
      </c>
      <c r="F98" s="159" t="str">
        <f t="shared" si="3"/>
        <v>0.999996334611756-0.00300732156365561j</v>
      </c>
      <c r="G98" s="159">
        <f t="shared" si="4"/>
        <v>7.4404132629732773E-6</v>
      </c>
      <c r="H98" s="159">
        <f t="shared" si="5"/>
        <v>-0.17230694536032298</v>
      </c>
      <c r="J98" s="159">
        <f t="shared" si="6"/>
        <v>6.3936063936063938</v>
      </c>
      <c r="K98" s="159" t="str">
        <f t="shared" si="7"/>
        <v>1+0.736899039350352j</v>
      </c>
      <c r="L98" s="159">
        <f t="shared" si="8"/>
        <v>0.99468669161732171</v>
      </c>
      <c r="M98" s="159" t="str">
        <f t="shared" si="9"/>
        <v>0.00805230627810203j</v>
      </c>
      <c r="N98" s="159" t="str">
        <f t="shared" si="10"/>
        <v>0.994686691617322+0.00805230627810203j</v>
      </c>
      <c r="O98" s="159" t="str">
        <f t="shared" si="11"/>
        <v>1.01127271593169+0.732648750458351j</v>
      </c>
      <c r="P98" s="159" t="str">
        <f t="shared" si="12"/>
        <v>6.46567970226056+4.68426773519825j</v>
      </c>
      <c r="R98" s="159">
        <f t="shared" si="13"/>
        <v>31.968031968031973</v>
      </c>
      <c r="S98" s="159" t="str">
        <f t="shared" si="14"/>
        <v>1+0.000105256254727946j</v>
      </c>
      <c r="T98" s="159" t="str">
        <f t="shared" si="15"/>
        <v>0.994686691617322+0.00805230627810203j</v>
      </c>
      <c r="U98" s="159" t="str">
        <f t="shared" si="16"/>
        <v>1.00527666707061-0.00803221700871812j</v>
      </c>
      <c r="V98" s="159" t="str">
        <f t="shared" si="17"/>
        <v>32.1367166296299-0.256774170108871j</v>
      </c>
      <c r="X98" s="159" t="str">
        <f t="shared" si="18"/>
        <v>0.253995655632668+0.182853006250429j</v>
      </c>
      <c r="Y98" s="159">
        <f t="shared" si="19"/>
        <v>-10.089999271325906</v>
      </c>
      <c r="Z98" s="159">
        <f t="shared" si="20"/>
        <v>-144.24965847496159</v>
      </c>
      <c r="AB98" s="159" t="str">
        <f t="shared" si="21"/>
        <v>14.1540262627747-0.113091464483097j</v>
      </c>
      <c r="AC98" s="159">
        <f t="shared" si="22"/>
        <v>23.017877191133081</v>
      </c>
      <c r="AD98" s="159">
        <f t="shared" si="23"/>
        <v>179.54221324664613</v>
      </c>
      <c r="AF98" s="159" t="str">
        <f t="shared" si="24"/>
        <v>11.0392696660598-1.69989034663428j</v>
      </c>
      <c r="AG98" s="159">
        <f t="shared" si="25"/>
        <v>20.960583154470974</v>
      </c>
      <c r="AH98" s="159">
        <f t="shared" si="26"/>
        <v>171.246023914869</v>
      </c>
      <c r="AJ98" s="159" t="str">
        <f t="shared" si="27"/>
        <v>157446.274253924-2908.42200362092j</v>
      </c>
      <c r="AK98" s="159" t="str">
        <f t="shared" si="28"/>
        <v>30000-2.70658940729005E-06j</v>
      </c>
      <c r="AL98" s="159" t="str">
        <f t="shared" si="43"/>
        <v>10000-7389373.48462651j</v>
      </c>
      <c r="AM98" s="159" t="str">
        <f t="shared" si="44"/>
        <v>963.138281142558-2293254.7389599j</v>
      </c>
      <c r="AN98" s="159" t="str">
        <f t="shared" si="45"/>
        <v>10963.1382811426-2293254.7389599j</v>
      </c>
      <c r="AO98" s="159" t="str">
        <f t="shared" si="46"/>
        <v>29992.992024269-392.330133343564j</v>
      </c>
      <c r="AP98" s="159" t="str">
        <f t="shared" si="47"/>
        <v>0.16000733779431+0.00248267863184013j</v>
      </c>
      <c r="AQ98" s="159" t="str">
        <f t="shared" si="29"/>
        <v>1+0.300431424209195j</v>
      </c>
      <c r="AR98" s="159">
        <f t="shared" si="51"/>
        <v>8.6447591493638804E-8</v>
      </c>
      <c r="AS98" s="159" t="str">
        <f t="shared" si="31"/>
        <v>0.0000081949211877459j</v>
      </c>
      <c r="AT98" s="159" t="str">
        <f t="shared" si="32"/>
        <v>8.64475914936388E-08+0.0000081949211877459j</v>
      </c>
      <c r="AU98" s="159" t="str">
        <f t="shared" si="33"/>
        <v>5.69155708721694-18.2439800423614j</v>
      </c>
      <c r="AW98" s="159" t="str">
        <f t="shared" si="48"/>
        <v>0.949906975422841-2.90702694076503j</v>
      </c>
      <c r="AX98" s="159">
        <f t="shared" si="34"/>
        <v>9.7095691943705713</v>
      </c>
      <c r="AY98" s="159">
        <f t="shared" si="35"/>
        <v>108.09544324068561</v>
      </c>
      <c r="AZ98" s="159" t="str">
        <f t="shared" si="36"/>
        <v>13.1162483433048-41.253562037155j</v>
      </c>
      <c r="BA98" s="159">
        <f t="shared" si="37"/>
        <v>32.727446385503626</v>
      </c>
      <c r="BB98" s="159">
        <f t="shared" si="38"/>
        <v>107.63765648733172</v>
      </c>
      <c r="BD98" s="159" t="str">
        <f t="shared" si="39"/>
        <v>5.54465222535172-33.7061920233279j</v>
      </c>
      <c r="BE98" s="159">
        <f t="shared" si="40"/>
        <v>30.670152348841558</v>
      </c>
      <c r="BF98" s="159">
        <f t="shared" si="41"/>
        <v>99.341467155554597</v>
      </c>
      <c r="BH98" s="159">
        <f t="shared" si="49"/>
        <v>-29.670152348841558</v>
      </c>
      <c r="BI98" s="169">
        <f t="shared" si="50"/>
        <v>-99.341467155554597</v>
      </c>
      <c r="BN98" s="165"/>
      <c r="BO98" s="165"/>
      <c r="BP98" s="165"/>
    </row>
    <row r="99" spans="1:68" s="159" customFormat="1">
      <c r="A99" s="159">
        <v>35</v>
      </c>
      <c r="B99" s="159">
        <f t="shared" si="42"/>
        <v>501.18723362727235</v>
      </c>
      <c r="C99" s="159" t="str">
        <f t="shared" si="0"/>
        <v>3149.05226247286j</v>
      </c>
      <c r="D99" s="159">
        <f t="shared" si="1"/>
        <v>0.99999598098170961</v>
      </c>
      <c r="E99" s="159" t="str">
        <f t="shared" si="2"/>
        <v>-0.00314905226247286j</v>
      </c>
      <c r="F99" s="159" t="str">
        <f t="shared" si="3"/>
        <v>0.99999598098171-0.00314905226247286j</v>
      </c>
      <c r="G99" s="159">
        <f t="shared" si="4"/>
        <v>8.1582564126474306E-6</v>
      </c>
      <c r="H99" s="159">
        <f t="shared" si="5"/>
        <v>-0.18042753284152951</v>
      </c>
      <c r="J99" s="159">
        <f t="shared" si="6"/>
        <v>6.3936063936063938</v>
      </c>
      <c r="K99" s="159" t="str">
        <f t="shared" si="7"/>
        <v>1+0.771628021135037j</v>
      </c>
      <c r="L99" s="159">
        <f t="shared" si="8"/>
        <v>0.99417407320900841</v>
      </c>
      <c r="M99" s="159" t="str">
        <f t="shared" si="9"/>
        <v>0.00843179978145012j</v>
      </c>
      <c r="N99" s="159" t="str">
        <f t="shared" si="10"/>
        <v>0.994174073209008+0.00843179978145012j</v>
      </c>
      <c r="O99" s="159" t="str">
        <f t="shared" si="11"/>
        <v>1.01236993649231+0.76756369039343j</v>
      </c>
      <c r="P99" s="159" t="str">
        <f t="shared" si="12"/>
        <v>6.47269489865213+4.90750011839955j</v>
      </c>
      <c r="R99" s="159">
        <f t="shared" si="13"/>
        <v>31.968031968031973</v>
      </c>
      <c r="S99" s="159" t="str">
        <f t="shared" si="14"/>
        <v>1+0.00011021682918655j</v>
      </c>
      <c r="T99" s="159" t="str">
        <f t="shared" si="15"/>
        <v>0.994174073209008+0.00843179978145012j</v>
      </c>
      <c r="U99" s="159" t="str">
        <f t="shared" si="16"/>
        <v>1.0057886600444-0.00841944283232285j</v>
      </c>
      <c r="V99" s="159" t="str">
        <f t="shared" si="17"/>
        <v>32.1530840373834-0.269153017616715j</v>
      </c>
      <c r="X99" s="159" t="str">
        <f t="shared" si="18"/>
        <v>0.254324128809524+0.19156647483335j</v>
      </c>
      <c r="Y99" s="159">
        <f t="shared" si="19"/>
        <v>-9.940542383963896</v>
      </c>
      <c r="Z99" s="159">
        <f t="shared" si="20"/>
        <v>-143.01156931314989</v>
      </c>
      <c r="AB99" s="159" t="str">
        <f t="shared" si="21"/>
        <v>14.1612349867357-0.118543500381729j</v>
      </c>
      <c r="AC99" s="159">
        <f t="shared" si="22"/>
        <v>23.022326901886096</v>
      </c>
      <c r="AD99" s="159">
        <f t="shared" si="23"/>
        <v>179.52038903199963</v>
      </c>
      <c r="AF99" s="159" t="str">
        <f t="shared" si="24"/>
        <v>11.0184939157551-1.77730579089753j</v>
      </c>
      <c r="AG99" s="159">
        <f t="shared" si="25"/>
        <v>20.953996026640095</v>
      </c>
      <c r="AH99" s="159">
        <f t="shared" si="26"/>
        <v>170.83699737963866</v>
      </c>
      <c r="AJ99" s="159" t="str">
        <f t="shared" si="27"/>
        <v>157441.092829506-3045.391485201j</v>
      </c>
      <c r="AK99" s="159" t="str">
        <f t="shared" si="28"/>
        <v>30000-2.83414703622557E-06j</v>
      </c>
      <c r="AL99" s="159" t="str">
        <f t="shared" si="43"/>
        <v>10000-7056796.89316166j</v>
      </c>
      <c r="AM99" s="159" t="str">
        <f t="shared" si="44"/>
        <v>963.138200202014-2190041.35638647j</v>
      </c>
      <c r="AN99" s="159" t="str">
        <f t="shared" si="45"/>
        <v>10963.138200202-2190041.35638647j</v>
      </c>
      <c r="AO99" s="159" t="str">
        <f t="shared" si="46"/>
        <v>29992.3161444649-410.807425506341j</v>
      </c>
      <c r="AP99" s="159" t="str">
        <f t="shared" si="47"/>
        <v>0.160008045724687+0.00259968148007004j</v>
      </c>
      <c r="AQ99" s="159" t="str">
        <f t="shared" si="29"/>
        <v>1+0.314590321021039j</v>
      </c>
      <c r="AR99" s="159">
        <f t="shared" si="51"/>
        <v>8.5140079567549518E-8</v>
      </c>
      <c r="AS99" s="159" t="str">
        <f t="shared" si="31"/>
        <v>8.58113592471592E-06j</v>
      </c>
      <c r="AT99" s="159" t="str">
        <f t="shared" si="32"/>
        <v>8.51400795675495E-08+8.58113592471592E-06j</v>
      </c>
      <c r="AU99" s="159" t="str">
        <f t="shared" si="33"/>
        <v>5.67197899258329-17.4239271547509j</v>
      </c>
      <c r="AW99" s="159" t="str">
        <f t="shared" si="48"/>
        <v>0.946783042772091-2.77529654937936j</v>
      </c>
      <c r="AX99" s="159">
        <f t="shared" si="34"/>
        <v>9.3443123478364143</v>
      </c>
      <c r="AY99" s="159">
        <f t="shared" si="35"/>
        <v>108.83690165757665</v>
      </c>
      <c r="AZ99" s="159" t="str">
        <f t="shared" si="36"/>
        <v>13.0786237825915-39.4138615696301j</v>
      </c>
      <c r="BA99" s="159">
        <f t="shared" si="37"/>
        <v>32.36663924972251</v>
      </c>
      <c r="BB99" s="159">
        <f t="shared" si="38"/>
        <v>108.35729068957635</v>
      </c>
      <c r="BD99" s="159" t="str">
        <f t="shared" si="39"/>
        <v>5.4995725676546-32.2623111283951j</v>
      </c>
      <c r="BE99" s="159">
        <f t="shared" si="40"/>
        <v>30.29830837447653</v>
      </c>
      <c r="BF99" s="159">
        <f t="shared" si="41"/>
        <v>99.673899037215421</v>
      </c>
      <c r="BH99" s="159">
        <f t="shared" si="49"/>
        <v>-29.29830837447653</v>
      </c>
      <c r="BI99" s="169">
        <f t="shared" si="50"/>
        <v>-99.673899037215421</v>
      </c>
      <c r="BN99" s="165"/>
      <c r="BO99" s="165"/>
      <c r="BP99" s="165"/>
    </row>
    <row r="100" spans="1:68" s="159" customFormat="1">
      <c r="A100" s="159">
        <v>36</v>
      </c>
      <c r="B100" s="159">
        <f t="shared" si="42"/>
        <v>524.80746024977259</v>
      </c>
      <c r="C100" s="159" t="str">
        <f t="shared" si="0"/>
        <v>3297.46252333961j</v>
      </c>
      <c r="D100" s="159">
        <f t="shared" si="1"/>
        <v>0.99999559323407461</v>
      </c>
      <c r="E100" s="159" t="str">
        <f t="shared" si="2"/>
        <v>-0.00329746252333961j</v>
      </c>
      <c r="F100" s="159" t="str">
        <f t="shared" si="3"/>
        <v>0.999995593234075-0.00329746252333961j</v>
      </c>
      <c r="G100" s="159">
        <f t="shared" si="4"/>
        <v>8.9453568847839559E-6</v>
      </c>
      <c r="H100" s="159">
        <f t="shared" si="5"/>
        <v>-0.1889308334982111</v>
      </c>
      <c r="J100" s="159">
        <f t="shared" si="6"/>
        <v>6.3936063936063938</v>
      </c>
      <c r="K100" s="159" t="str">
        <f t="shared" si="7"/>
        <v>1+0.807993729406521j</v>
      </c>
      <c r="L100" s="159">
        <f t="shared" si="8"/>
        <v>0.99361199830135127</v>
      </c>
      <c r="M100" s="159" t="str">
        <f t="shared" si="9"/>
        <v>0.00882917826260577j</v>
      </c>
      <c r="N100" s="159" t="str">
        <f t="shared" si="10"/>
        <v>0.993611998301351+0.00882917826260577j</v>
      </c>
      <c r="O100" s="159" t="str">
        <f t="shared" si="11"/>
        <v>1.01357498327056+0.804181809964785j</v>
      </c>
      <c r="P100" s="159" t="str">
        <f t="shared" si="12"/>
        <v>6.48039949343815+5.14162196181281j</v>
      </c>
      <c r="R100" s="159">
        <f t="shared" si="13"/>
        <v>31.968031968031973</v>
      </c>
      <c r="S100" s="159" t="str">
        <f t="shared" si="14"/>
        <v>1+0.000115411188316886j</v>
      </c>
      <c r="T100" s="159" t="str">
        <f t="shared" si="15"/>
        <v>0.993611998301351+0.00882917826260577j</v>
      </c>
      <c r="U100" s="159" t="str">
        <f t="shared" si="16"/>
        <v>1.00635064133718-0.00882621992662063j</v>
      </c>
      <c r="V100" s="159" t="str">
        <f t="shared" si="17"/>
        <v>32.1710494733165-0.282156880771089j</v>
      </c>
      <c r="X100" s="159" t="str">
        <f t="shared" si="18"/>
        <v>0.254684847610255+0.200704914432328j</v>
      </c>
      <c r="Y100" s="159">
        <f t="shared" si="19"/>
        <v>-9.7820379835208353</v>
      </c>
      <c r="Z100" s="159">
        <f t="shared" si="20"/>
        <v>-141.76005054545539</v>
      </c>
      <c r="AB100" s="159" t="str">
        <f t="shared" si="21"/>
        <v>14.1691475328414-0.124270812935956j</v>
      </c>
      <c r="AC100" s="159">
        <f t="shared" si="22"/>
        <v>23.027208501493689</v>
      </c>
      <c r="AD100" s="159">
        <f t="shared" si="23"/>
        <v>179.49749901868105</v>
      </c>
      <c r="AF100" s="159" t="str">
        <f t="shared" si="24"/>
        <v>10.9957827162233-1.85797927388069j</v>
      </c>
      <c r="AG100" s="159">
        <f t="shared" si="25"/>
        <v>20.946783544450469</v>
      </c>
      <c r="AH100" s="159">
        <f t="shared" si="26"/>
        <v>170.40921067582786</v>
      </c>
      <c r="AJ100" s="159" t="str">
        <f t="shared" si="27"/>
        <v>157435.411902565-3188.80129888128j</v>
      </c>
      <c r="AK100" s="159" t="str">
        <f t="shared" si="28"/>
        <v>30000-2.96771627100565E-06j</v>
      </c>
      <c r="AL100" s="159" t="str">
        <f t="shared" si="43"/>
        <v>10000-6739188.71402852j</v>
      </c>
      <c r="AM100" s="159" t="str">
        <f t="shared" si="44"/>
        <v>963.13811145247-2091473.3451539j</v>
      </c>
      <c r="AN100" s="159" t="str">
        <f t="shared" si="45"/>
        <v>10963.1381114525-2091473.3451539j</v>
      </c>
      <c r="AO100" s="159" t="str">
        <f t="shared" si="46"/>
        <v>29991.5751049251-430.153651324154j</v>
      </c>
      <c r="AP100" s="159" t="str">
        <f t="shared" si="47"/>
        <v>0.16000882195354+0.00272219817805983j</v>
      </c>
      <c r="AQ100" s="159" t="str">
        <f t="shared" si="29"/>
        <v>1+0.329416506081627j</v>
      </c>
      <c r="AR100" s="159">
        <f t="shared" si="51"/>
        <v>8.3706421249395445E-8</v>
      </c>
      <c r="AS100" s="159" t="str">
        <f t="shared" si="31"/>
        <v>0.0000089855524014752j</v>
      </c>
      <c r="AT100" s="159" t="str">
        <f t="shared" si="32"/>
        <v>8.37064212493954E-08+0.0000089855524014752j</v>
      </c>
      <c r="AU100" s="159" t="str">
        <f t="shared" si="33"/>
        <v>5.65412284462626-16.6407925668346j</v>
      </c>
      <c r="AW100" s="159" t="str">
        <f t="shared" si="48"/>
        <v>0.943935352991095-2.64944651296393j</v>
      </c>
      <c r="AX100" s="159">
        <f t="shared" si="34"/>
        <v>8.9820836951729941</v>
      </c>
      <c r="AY100" s="159">
        <f t="shared" si="35"/>
        <v>109.60978519435778</v>
      </c>
      <c r="AZ100" s="159" t="str">
        <f t="shared" si="36"/>
        <v>13.0455104059992-37.6577021362334j</v>
      </c>
      <c r="BA100" s="159">
        <f t="shared" si="37"/>
        <v>32.009292196666706</v>
      </c>
      <c r="BB100" s="159">
        <f t="shared" si="38"/>
        <v>109.10728421303882</v>
      </c>
      <c r="BD100" s="159" t="str">
        <f t="shared" si="39"/>
        <v>5.45669133130914-30.8865504965476j</v>
      </c>
      <c r="BE100" s="159">
        <f t="shared" si="40"/>
        <v>29.928867239623468</v>
      </c>
      <c r="BF100" s="159">
        <f t="shared" si="41"/>
        <v>100.01899587018559</v>
      </c>
      <c r="BH100" s="159">
        <f t="shared" si="49"/>
        <v>-28.928867239623468</v>
      </c>
      <c r="BI100" s="169">
        <f t="shared" si="50"/>
        <v>-100.01899587018559</v>
      </c>
      <c r="BN100" s="165"/>
      <c r="BO100" s="165"/>
      <c r="BP100" s="165"/>
    </row>
    <row r="101" spans="1:68" s="159" customFormat="1">
      <c r="A101" s="159">
        <v>37</v>
      </c>
      <c r="B101" s="159">
        <f t="shared" si="42"/>
        <v>549.54087385762455</v>
      </c>
      <c r="C101" s="159" t="str">
        <f t="shared" si="0"/>
        <v>3452.86714431686j</v>
      </c>
      <c r="D101" s="159">
        <f t="shared" si="1"/>
        <v>0.99999516807724731</v>
      </c>
      <c r="E101" s="159" t="str">
        <f t="shared" si="2"/>
        <v>-0.00345286714431686j</v>
      </c>
      <c r="F101" s="159" t="str">
        <f t="shared" si="3"/>
        <v>0.999995168077247-0.00345286714431686j</v>
      </c>
      <c r="G101" s="159">
        <f t="shared" si="4"/>
        <v>9.8083967191094829E-6</v>
      </c>
      <c r="H101" s="159">
        <f t="shared" si="5"/>
        <v>-0.19783488429527027</v>
      </c>
      <c r="J101" s="159">
        <f t="shared" si="6"/>
        <v>6.3936063936063938</v>
      </c>
      <c r="K101" s="159" t="str">
        <f t="shared" si="7"/>
        <v>1+0.846073300707682j</v>
      </c>
      <c r="L101" s="159">
        <f t="shared" si="8"/>
        <v>0.99299569542050603</v>
      </c>
      <c r="M101" s="159" t="str">
        <f t="shared" si="9"/>
        <v>0.00924528461460494j</v>
      </c>
      <c r="N101" s="159" t="str">
        <f t="shared" si="10"/>
        <v>0.992995695420506+0.00924528461460494j</v>
      </c>
      <c r="O101" s="159" t="str">
        <f t="shared" si="11"/>
        <v>1.01489866262068+0.842592045036466j</v>
      </c>
      <c r="P101" s="159" t="str">
        <f t="shared" si="12"/>
        <v>6.48886257819416+5.38720188634704j</v>
      </c>
      <c r="R101" s="159">
        <f t="shared" si="13"/>
        <v>31.968031968031973</v>
      </c>
      <c r="S101" s="159" t="str">
        <f t="shared" si="14"/>
        <v>1+0.00012085035005109j</v>
      </c>
      <c r="T101" s="159" t="str">
        <f t="shared" si="15"/>
        <v>0.992995695420506+0.00924528461460494j</v>
      </c>
      <c r="U101" s="159" t="str">
        <f t="shared" si="16"/>
        <v>1.00696755467137-0.00925366679124152j</v>
      </c>
      <c r="V101" s="159" t="str">
        <f t="shared" si="17"/>
        <v>32.1907709785053-0.295821515803925j</v>
      </c>
      <c r="X101" s="159" t="str">
        <f t="shared" si="18"/>
        <v>0.255081036778027+0.210290504343055j</v>
      </c>
      <c r="Y101" s="159">
        <f t="shared" si="19"/>
        <v>-9.6142580679664533</v>
      </c>
      <c r="Z101" s="159">
        <f t="shared" si="20"/>
        <v>-140.49760290031779</v>
      </c>
      <c r="AB101" s="159" t="str">
        <f t="shared" si="21"/>
        <v>14.1778335073796-0.130289150321042j</v>
      </c>
      <c r="AC101" s="159">
        <f t="shared" si="22"/>
        <v>23.032564184855154</v>
      </c>
      <c r="AD101" s="159">
        <f t="shared" si="23"/>
        <v>179.47348737748723</v>
      </c>
      <c r="AF101" s="159" t="str">
        <f t="shared" si="24"/>
        <v>10.9709628980086-1.94200884233683j</v>
      </c>
      <c r="AG101" s="159">
        <f t="shared" si="25"/>
        <v>20.938887391815403</v>
      </c>
      <c r="AH101" s="159">
        <f t="shared" si="26"/>
        <v>169.96185438473799</v>
      </c>
      <c r="AJ101" s="159" t="str">
        <f t="shared" si="27"/>
        <v>157429.183361227-3338.9527715145j</v>
      </c>
      <c r="AK101" s="159" t="str">
        <f t="shared" si="28"/>
        <v>30000-3.10758042988518E-06j</v>
      </c>
      <c r="AL101" s="159" t="str">
        <f t="shared" si="43"/>
        <v>10000-6435875.25769654j</v>
      </c>
      <c r="AM101" s="159" t="str">
        <f t="shared" si="44"/>
        <v>963.138014140566-1997341.62929508j</v>
      </c>
      <c r="AN101" s="159" t="str">
        <f t="shared" si="45"/>
        <v>10963.1380141406-1997341.62929508j</v>
      </c>
      <c r="AO101" s="159" t="str">
        <f t="shared" si="46"/>
        <v>29990.7626288448-450.409484937979j</v>
      </c>
      <c r="AP101" s="159" t="str">
        <f t="shared" si="47"/>
        <v>0.160009673069903+0.00285048853745401j</v>
      </c>
      <c r="AQ101" s="159" t="str">
        <f t="shared" si="29"/>
        <v>1+0.344941427717254j</v>
      </c>
      <c r="AR101" s="159">
        <f t="shared" si="51"/>
        <v>8.2134446162820104E-8</v>
      </c>
      <c r="AS101" s="159" t="str">
        <f t="shared" si="31"/>
        <v>0.000009409028439592j</v>
      </c>
      <c r="AT101" s="159" t="str">
        <f t="shared" si="32"/>
        <v>8.21344461628201E-08+0.000009409028439592j</v>
      </c>
      <c r="AU101" s="159" t="str">
        <f t="shared" si="33"/>
        <v>5.63783718024741-15.8929203292033j</v>
      </c>
      <c r="AW101" s="159" t="str">
        <f t="shared" si="48"/>
        <v>0.941339750867823-2.52921071715385j</v>
      </c>
      <c r="AX101" s="159">
        <f t="shared" si="34"/>
        <v>8.6231194255556112</v>
      </c>
      <c r="AY101" s="159">
        <f t="shared" si="35"/>
        <v>110.41462031825976</v>
      </c>
      <c r="AZ101" s="159" t="str">
        <f t="shared" si="36"/>
        <v>13.0166295463613-35.9813748091913j</v>
      </c>
      <c r="BA101" s="159">
        <f t="shared" si="37"/>
        <v>31.65568361041074</v>
      </c>
      <c r="BB101" s="159">
        <f t="shared" si="38"/>
        <v>109.88810769574701</v>
      </c>
      <c r="BD101" s="159" t="str">
        <f t="shared" si="39"/>
        <v>5.41565390434566-29.5759670589689j</v>
      </c>
      <c r="BE101" s="159">
        <f t="shared" si="40"/>
        <v>29.56200681737096</v>
      </c>
      <c r="BF101" s="159">
        <f t="shared" si="41"/>
        <v>100.37647470299775</v>
      </c>
      <c r="BH101" s="159">
        <f t="shared" si="49"/>
        <v>-28.56200681737096</v>
      </c>
      <c r="BI101" s="169">
        <f t="shared" si="50"/>
        <v>-100.37647470299775</v>
      </c>
      <c r="BN101" s="165"/>
      <c r="BO101" s="165"/>
      <c r="BP101" s="165"/>
    </row>
    <row r="102" spans="1:68" s="159" customFormat="1">
      <c r="A102" s="159">
        <v>38</v>
      </c>
      <c r="B102" s="159">
        <f t="shared" si="42"/>
        <v>575.43993733715718</v>
      </c>
      <c r="C102" s="159" t="str">
        <f t="shared" si="0"/>
        <v>3615.59575944117j</v>
      </c>
      <c r="D102" s="159">
        <f t="shared" si="1"/>
        <v>0.9999947019020563</v>
      </c>
      <c r="E102" s="159" t="str">
        <f t="shared" si="2"/>
        <v>-0.00361559575944117j</v>
      </c>
      <c r="F102" s="159" t="str">
        <f t="shared" si="3"/>
        <v>0.999994701902056-0.00361559575944117j</v>
      </c>
      <c r="G102" s="159">
        <f t="shared" si="4"/>
        <v>1.075470269936067E-5</v>
      </c>
      <c r="H102" s="159">
        <f t="shared" si="5"/>
        <v>-0.20715857229041043</v>
      </c>
      <c r="J102" s="159">
        <f t="shared" si="6"/>
        <v>6.3936063936063938</v>
      </c>
      <c r="K102" s="159" t="str">
        <f t="shared" si="7"/>
        <v>1+0.885947506914667j</v>
      </c>
      <c r="L102" s="159">
        <f t="shared" si="8"/>
        <v>0.99231993274943897</v>
      </c>
      <c r="M102" s="159" t="str">
        <f t="shared" si="9"/>
        <v>0.00968100145480859j</v>
      </c>
      <c r="N102" s="159" t="str">
        <f t="shared" si="10"/>
        <v>0.992319932749439+0.00968100145480859j</v>
      </c>
      <c r="O102" s="159" t="str">
        <f t="shared" si="11"/>
        <v>1.0163529068055+0.882888838600505j</v>
      </c>
      <c r="P102" s="159" t="str">
        <f t="shared" si="12"/>
        <v>6.49816044311209+5.64484372331991j</v>
      </c>
      <c r="R102" s="159">
        <f t="shared" si="13"/>
        <v>31.968031968031973</v>
      </c>
      <c r="S102" s="159" t="str">
        <f t="shared" si="14"/>
        <v>1+0.000126545851580441j</v>
      </c>
      <c r="T102" s="159" t="str">
        <f t="shared" si="15"/>
        <v>0.992319932749439+0.00968100145480859j</v>
      </c>
      <c r="U102" s="159" t="str">
        <f t="shared" si="16"/>
        <v>1.00764484556731-0.00970298494116637j</v>
      </c>
      <c r="V102" s="159" t="str">
        <f t="shared" si="17"/>
        <v>32.2124226355184-0.310185332784539j</v>
      </c>
      <c r="X102" s="159" t="str">
        <f t="shared" si="18"/>
        <v>0.255516255650421+0.220346795621581j</v>
      </c>
      <c r="Y102" s="159">
        <f t="shared" si="19"/>
        <v>-9.4370027847824041</v>
      </c>
      <c r="Z102" s="159">
        <f t="shared" si="20"/>
        <v>-139.22685625826443</v>
      </c>
      <c r="AB102" s="159" t="str">
        <f t="shared" si="21"/>
        <v>14.1873695818183-0.136615429546152j</v>
      </c>
      <c r="AC102" s="159">
        <f t="shared" si="22"/>
        <v>23.038440325455767</v>
      </c>
      <c r="AD102" s="159">
        <f t="shared" si="23"/>
        <v>179.44829479744632</v>
      </c>
      <c r="AF102" s="159" t="str">
        <f t="shared" si="24"/>
        <v>10.9438472068297-2.02948952821263j</v>
      </c>
      <c r="AG102" s="159">
        <f t="shared" si="25"/>
        <v>20.930244022530108</v>
      </c>
      <c r="AH102" s="159">
        <f t="shared" si="26"/>
        <v>169.49409155008735</v>
      </c>
      <c r="AJ102" s="159" t="str">
        <f t="shared" si="27"/>
        <v>157422.354467881-3496.16110614077j</v>
      </c>
      <c r="AK102" s="159" t="str">
        <f t="shared" si="28"/>
        <v>30000-3.25403618349705E-06j</v>
      </c>
      <c r="AL102" s="159" t="str">
        <f t="shared" si="43"/>
        <v>10000-6146213.15565899j</v>
      </c>
      <c r="AM102" s="159" t="str">
        <f t="shared" si="44"/>
        <v>963.1379074402-1907446.54282024j</v>
      </c>
      <c r="AN102" s="159" t="str">
        <f t="shared" si="45"/>
        <v>10963.1379074402-1907446.54282024j</v>
      </c>
      <c r="AO102" s="159" t="str">
        <f t="shared" si="46"/>
        <v>29989.8718358015-471.617476361084j</v>
      </c>
      <c r="AP102" s="159" t="str">
        <f t="shared" si="47"/>
        <v>0.160010606298455+0.00298482460731852j</v>
      </c>
      <c r="AQ102" s="159" t="str">
        <f t="shared" si="29"/>
        <v>1+0.361198016368173j</v>
      </c>
      <c r="AR102" s="159">
        <f t="shared" si="51"/>
        <v>8.0410809755510031E-8</v>
      </c>
      <c r="AS102" s="159" t="str">
        <f t="shared" si="31"/>
        <v>9.85246228851959E-06j</v>
      </c>
      <c r="AT102" s="159" t="str">
        <f t="shared" si="32"/>
        <v>8.041080975551E-08+9.85246228851959E-06j</v>
      </c>
      <c r="AU102" s="159" t="str">
        <f t="shared" si="33"/>
        <v>5.62298384832873-15.1787286199279j</v>
      </c>
      <c r="AW102" s="159" t="str">
        <f t="shared" si="48"/>
        <v>0.938974217984302-2.41433484933446j</v>
      </c>
      <c r="AX102" s="159">
        <f t="shared" si="34"/>
        <v>8.2676687592345885</v>
      </c>
      <c r="AY102" s="159">
        <f t="shared" si="35"/>
        <v>111.25187057157976</v>
      </c>
      <c r="AZ102" s="159" t="str">
        <f t="shared" si="36"/>
        <v>12.991738865832-34.3813391678942j</v>
      </c>
      <c r="BA102" s="159">
        <f t="shared" si="37"/>
        <v>31.306109084690338</v>
      </c>
      <c r="BB102" s="159">
        <f t="shared" si="38"/>
        <v>110.70016536902605</v>
      </c>
      <c r="BD102" s="159" t="str">
        <f t="shared" si="39"/>
        <v>5.37612307844945-28.3277500399012j</v>
      </c>
      <c r="BE102" s="159">
        <f t="shared" si="40"/>
        <v>29.197912781764657</v>
      </c>
      <c r="BF102" s="159">
        <f t="shared" si="41"/>
        <v>100.74596212166705</v>
      </c>
      <c r="BH102" s="159">
        <f t="shared" si="49"/>
        <v>-28.197912781764657</v>
      </c>
      <c r="BI102" s="169">
        <f t="shared" si="50"/>
        <v>-100.74596212166705</v>
      </c>
      <c r="BN102" s="165"/>
      <c r="BO102" s="165"/>
      <c r="BP102" s="165"/>
    </row>
    <row r="103" spans="1:68" s="159" customFormat="1">
      <c r="A103" s="159">
        <v>39</v>
      </c>
      <c r="B103" s="159">
        <f t="shared" si="42"/>
        <v>602.55958607435798</v>
      </c>
      <c r="C103" s="159" t="str">
        <f t="shared" si="0"/>
        <v>3785.99353792262j</v>
      </c>
      <c r="D103" s="159">
        <f t="shared" si="1"/>
        <v>0.99999419075112372</v>
      </c>
      <c r="E103" s="159" t="str">
        <f t="shared" si="2"/>
        <v>-0.00378599353792262j</v>
      </c>
      <c r="F103" s="159" t="str">
        <f t="shared" si="3"/>
        <v>0.999994190751124-0.00378599353792262j</v>
      </c>
      <c r="G103" s="159">
        <f t="shared" si="4"/>
        <v>1.1792308506967841E-5</v>
      </c>
      <c r="H103" s="159">
        <f t="shared" si="5"/>
        <v>-0.21692167470323157</v>
      </c>
      <c r="J103" s="159">
        <f t="shared" si="6"/>
        <v>6.3936063936063938</v>
      </c>
      <c r="K103" s="159" t="str">
        <f t="shared" si="7"/>
        <v>1+0.927700926564869j</v>
      </c>
      <c r="L103" s="159">
        <f t="shared" si="8"/>
        <v>0.9915789737148466</v>
      </c>
      <c r="M103" s="159" t="str">
        <f t="shared" si="9"/>
        <v>0.0101372529970524j</v>
      </c>
      <c r="N103" s="159" t="str">
        <f t="shared" si="10"/>
        <v>0.991578973714847+0.0101372529970524j</v>
      </c>
      <c r="O103" s="159" t="str">
        <f t="shared" si="11"/>
        <v>1.01795090003447+0.925172603565572j</v>
      </c>
      <c r="P103" s="159" t="str">
        <f t="shared" si="12"/>
        <v>6.50837738283777+5.91518947334631j</v>
      </c>
      <c r="R103" s="159">
        <f t="shared" si="13"/>
        <v>31.968031968031973</v>
      </c>
      <c r="S103" s="159" t="str">
        <f t="shared" si="14"/>
        <v>1+0.000132509773827292j</v>
      </c>
      <c r="T103" s="159" t="str">
        <f t="shared" si="15"/>
        <v>0.991578973714847+0.0101372529970524j</v>
      </c>
      <c r="U103" s="159" t="str">
        <f t="shared" si="16"/>
        <v>1.00838851490018-0.010175467601171j</v>
      </c>
      <c r="V103" s="159" t="str">
        <f t="shared" si="17"/>
        <v>32.2361962805252-0.325289673563908j</v>
      </c>
      <c r="X103" s="159" t="str">
        <f t="shared" si="18"/>
        <v>0.255994435341385+0.23089882615653j</v>
      </c>
      <c r="Y103" s="159">
        <f t="shared" si="19"/>
        <v>-9.250102459342628</v>
      </c>
      <c r="Z103" s="159">
        <f t="shared" si="20"/>
        <v>-137.95054653797479</v>
      </c>
      <c r="AB103" s="159" t="str">
        <f t="shared" si="21"/>
        <v>14.197840246873-0.143267858869812j</v>
      </c>
      <c r="AC103" s="159">
        <f t="shared" si="22"/>
        <v>23.04488790064536</v>
      </c>
      <c r="AD103" s="159">
        <f t="shared" si="23"/>
        <v>179.42185819016896</v>
      </c>
      <c r="AF103" s="159" t="str">
        <f t="shared" si="24"/>
        <v>10.9142334382565-2.12051221981545j</v>
      </c>
      <c r="AG103" s="159">
        <f t="shared" si="25"/>
        <v>20.920784232135077</v>
      </c>
      <c r="AH103" s="159">
        <f t="shared" si="26"/>
        <v>169.00505783679412</v>
      </c>
      <c r="AJ103" s="159" t="str">
        <f t="shared" si="27"/>
        <v>157414.867416126-3660.75598795287j</v>
      </c>
      <c r="AK103" s="159" t="str">
        <f t="shared" si="28"/>
        <v>30000-3.40739418413037E-06j</v>
      </c>
      <c r="AL103" s="159" t="str">
        <f t="shared" si="43"/>
        <v>10000-5869587.99576176j</v>
      </c>
      <c r="AM103" s="159" t="str">
        <f t="shared" si="44"/>
        <v>963.137790445599-1821597.40619851j</v>
      </c>
      <c r="AN103" s="159" t="str">
        <f t="shared" si="45"/>
        <v>10963.1377904456-1821597.40619851j</v>
      </c>
      <c r="AO103" s="159" t="str">
        <f t="shared" si="46"/>
        <v>29988.8951839151-493.822133822123j</v>
      </c>
      <c r="AP103" s="159" t="str">
        <f t="shared" si="47"/>
        <v>0.16001162956083+0.0031254912498171j</v>
      </c>
      <c r="AQ103" s="159" t="str">
        <f t="shared" si="29"/>
        <v>1+0.37822075443847j</v>
      </c>
      <c r="AR103" s="159">
        <f t="shared" si="51"/>
        <v>7.8520880016816086E-8</v>
      </c>
      <c r="AS103" s="159" t="str">
        <f t="shared" si="31"/>
        <v>0.0000103167945309038j</v>
      </c>
      <c r="AT103" s="159" t="str">
        <f t="shared" si="32"/>
        <v>7.85208800168161E-08+0.0000103167945309038j</v>
      </c>
      <c r="AU103" s="159" t="str">
        <f t="shared" si="33"/>
        <v>5.60943684031138-14.4967064755333j</v>
      </c>
      <c r="AW103" s="159" t="str">
        <f t="shared" si="48"/>
        <v>0.936818686336743-2.30457587302939j</v>
      </c>
      <c r="AX103" s="159">
        <f t="shared" si="34"/>
        <v>7.9159937483782974</v>
      </c>
      <c r="AY103" s="159">
        <f t="shared" si="35"/>
        <v>112.12192545255904</v>
      </c>
      <c r="AZ103" s="159" t="str">
        <f t="shared" si="36"/>
        <v>12.9706303979626-32.8542160894099j</v>
      </c>
      <c r="BA103" s="159">
        <f t="shared" si="37"/>
        <v>30.960881649023673</v>
      </c>
      <c r="BB103" s="159">
        <f t="shared" si="38"/>
        <v>111.54378364272802</v>
      </c>
      <c r="BD103" s="159" t="str">
        <f t="shared" si="39"/>
        <v>5.33777653174941-27.1392145265452j</v>
      </c>
      <c r="BE103" s="159">
        <f t="shared" si="40"/>
        <v>28.836777980513425</v>
      </c>
      <c r="BF103" s="159">
        <f t="shared" si="41"/>
        <v>101.12698328935326</v>
      </c>
      <c r="BH103" s="159">
        <f t="shared" si="49"/>
        <v>-27.836777980513425</v>
      </c>
      <c r="BI103" s="169">
        <f t="shared" si="50"/>
        <v>-101.12698328935326</v>
      </c>
      <c r="BN103" s="165"/>
      <c r="BO103" s="165"/>
      <c r="BP103" s="165"/>
    </row>
    <row r="104" spans="1:68" s="159" customFormat="1">
      <c r="A104" s="159">
        <v>40</v>
      </c>
      <c r="B104" s="159">
        <f t="shared" si="42"/>
        <v>630.95734448019346</v>
      </c>
      <c r="C104" s="159" t="str">
        <f t="shared" si="0"/>
        <v>3964.421916295j</v>
      </c>
      <c r="D104" s="159">
        <f t="shared" si="1"/>
        <v>0.99999363028527111</v>
      </c>
      <c r="E104" s="159" t="str">
        <f t="shared" si="2"/>
        <v>-0.003964421916295j</v>
      </c>
      <c r="F104" s="159" t="str">
        <f t="shared" si="3"/>
        <v>0.999993630285271-0.003964421916295j</v>
      </c>
      <c r="G104" s="159">
        <f t="shared" si="4"/>
        <v>1.293002296714121E-5</v>
      </c>
      <c r="H104" s="159">
        <f t="shared" si="5"/>
        <v>-0.22714490087353395</v>
      </c>
      <c r="J104" s="159">
        <f t="shared" si="6"/>
        <v>6.3936063936063938</v>
      </c>
      <c r="K104" s="159" t="str">
        <f t="shared" si="7"/>
        <v>1+0.971422124259345j</v>
      </c>
      <c r="L104" s="159">
        <f t="shared" si="8"/>
        <v>0.99076652828918066</v>
      </c>
      <c r="M104" s="159" t="str">
        <f t="shared" si="9"/>
        <v>0.0106150070120281j</v>
      </c>
      <c r="N104" s="159" t="str">
        <f t="shared" si="10"/>
        <v>0.990766528289181+0.0106150070120281j</v>
      </c>
      <c r="O104" s="159" t="str">
        <f t="shared" si="11"/>
        <v>1.01970722036523+0.969550239675211j</v>
      </c>
      <c r="P104" s="159" t="str">
        <f t="shared" si="12"/>
        <v>6.51960660373374+6.19892261131004j</v>
      </c>
      <c r="R104" s="159">
        <f t="shared" si="13"/>
        <v>31.968031968031973</v>
      </c>
      <c r="S104" s="159" t="str">
        <f t="shared" si="14"/>
        <v>1+0.000138754767070325j</v>
      </c>
      <c r="T104" s="159" t="str">
        <f t="shared" si="15"/>
        <v>0.990766528289181+0.0106150070120281j</v>
      </c>
      <c r="U104" s="159" t="str">
        <f t="shared" si="16"/>
        <v>1.00920517870377-0.0106725095968916j</v>
      </c>
      <c r="V104" s="159" t="str">
        <f t="shared" si="17"/>
        <v>32.2623034151055-0.341179127972559j</v>
      </c>
      <c r="X104" s="159" t="str">
        <f t="shared" si="18"/>
        <v>0.256519920551329+0.241973249179739j</v>
      </c>
      <c r="Y104" s="159">
        <f t="shared" si="19"/>
        <v>-9.0534190657691944</v>
      </c>
      <c r="Z104" s="159">
        <f t="shared" si="20"/>
        <v>-136.67149014115716</v>
      </c>
      <c r="AB104" s="159" t="str">
        <f t="shared" si="21"/>
        <v>14.2093386545279-0.150266077063448j</v>
      </c>
      <c r="AC104" s="159">
        <f t="shared" si="22"/>
        <v>23.051962962538774</v>
      </c>
      <c r="AD104" s="159">
        <f t="shared" si="23"/>
        <v>179.39411035930451</v>
      </c>
      <c r="AF104" s="159" t="str">
        <f t="shared" si="24"/>
        <v>10.8819035776322-2.21516236828339j</v>
      </c>
      <c r="AG104" s="159">
        <f t="shared" si="25"/>
        <v>20.910432702819058</v>
      </c>
      <c r="AH104" s="159">
        <f t="shared" si="26"/>
        <v>168.4938618847529</v>
      </c>
      <c r="AJ104" s="159" t="str">
        <f t="shared" si="27"/>
        <v>157406.658845631-3833.08221174436j</v>
      </c>
      <c r="AK104" s="159" t="str">
        <f t="shared" si="28"/>
        <v>30000-0.0000035679797246655j</v>
      </c>
      <c r="AL104" s="159" t="str">
        <f t="shared" si="43"/>
        <v>10000-5605413.01895291j</v>
      </c>
      <c r="AM104" s="159" t="str">
        <f t="shared" si="44"/>
        <v>963.137662163603-1739612.12190113j</v>
      </c>
      <c r="AN104" s="159" t="str">
        <f t="shared" si="45"/>
        <v>10963.1376621636-1739612.12190113j</v>
      </c>
      <c r="AO104" s="159" t="str">
        <f t="shared" si="46"/>
        <v>29987.8244065072-517.070009094713j</v>
      </c>
      <c r="AP104" s="159" t="str">
        <f t="shared" si="47"/>
        <v>0.160012751542849+0.00327278674286234j</v>
      </c>
      <c r="AQ104" s="159" t="str">
        <f t="shared" si="29"/>
        <v>1+0.396045749437871j</v>
      </c>
      <c r="AR104" s="159">
        <f t="shared" si="51"/>
        <v>7.6448613266095451E-8</v>
      </c>
      <c r="AS104" s="159" t="str">
        <f t="shared" si="31"/>
        <v>0.0000108030100776847j</v>
      </c>
      <c r="AT104" s="159" t="str">
        <f t="shared" si="32"/>
        <v>7.64486132660955E-08+0.0000108030100776847j</v>
      </c>
      <c r="AU104" s="159" t="str">
        <f t="shared" si="33"/>
        <v>5.59708122329035-13.8454106611551j</v>
      </c>
      <c r="AW104" s="159" t="str">
        <f t="shared" si="48"/>
        <v>0.93485486842277-2.19970152443201j</v>
      </c>
      <c r="AX104" s="159">
        <f t="shared" si="34"/>
        <v>7.5683688854004636</v>
      </c>
      <c r="AY104" s="159">
        <f t="shared" si="35"/>
        <v>113.02508872397993</v>
      </c>
      <c r="AZ104" s="159" t="str">
        <f t="shared" si="36"/>
        <v>12.9531288994663-31.3967808732372j</v>
      </c>
      <c r="BA104" s="159">
        <f t="shared" si="37"/>
        <v>30.620331847939212</v>
      </c>
      <c r="BB104" s="159">
        <f t="shared" si="38"/>
        <v>112.41919908328437</v>
      </c>
      <c r="BD104" s="159" t="str">
        <f t="shared" si="39"/>
        <v>5.3003044988792-26.0077952127763j</v>
      </c>
      <c r="BE104" s="159">
        <f t="shared" si="40"/>
        <v>28.478801588219511</v>
      </c>
      <c r="BF104" s="159">
        <f t="shared" si="41"/>
        <v>101.51895060873279</v>
      </c>
      <c r="BH104" s="159">
        <f t="shared" si="49"/>
        <v>-27.478801588219511</v>
      </c>
      <c r="BI104" s="169">
        <f t="shared" si="50"/>
        <v>-101.51895060873279</v>
      </c>
      <c r="BN104" s="165"/>
      <c r="BO104" s="165"/>
      <c r="BP104" s="165"/>
    </row>
    <row r="105" spans="1:68" s="159" customFormat="1">
      <c r="A105" s="159">
        <v>41</v>
      </c>
      <c r="B105" s="159">
        <f t="shared" si="42"/>
        <v>660.69344800759632</v>
      </c>
      <c r="C105" s="159" t="str">
        <f t="shared" si="0"/>
        <v>4151.25936507115j</v>
      </c>
      <c r="D105" s="159">
        <f t="shared" si="1"/>
        <v>0.9999930157466842</v>
      </c>
      <c r="E105" s="159" t="str">
        <f t="shared" si="2"/>
        <v>-0.00415125936507115j</v>
      </c>
      <c r="F105" s="159" t="str">
        <f t="shared" si="3"/>
        <v>0.999993015746684-0.00415125936507115j</v>
      </c>
      <c r="G105" s="159">
        <f t="shared" si="4"/>
        <v>1.4177504863693444E-5</v>
      </c>
      <c r="H105" s="159">
        <f t="shared" si="5"/>
        <v>-0.2378499361979817</v>
      </c>
      <c r="J105" s="159">
        <f t="shared" si="6"/>
        <v>6.3936063936063938</v>
      </c>
      <c r="K105" s="159" t="str">
        <f t="shared" si="7"/>
        <v>1+1.01720383852021j</v>
      </c>
      <c r="L105" s="159">
        <f t="shared" si="8"/>
        <v>0.9898756995943816</v>
      </c>
      <c r="M105" s="159" t="str">
        <f t="shared" si="9"/>
        <v>0.0111152768800551j</v>
      </c>
      <c r="N105" s="159" t="str">
        <f t="shared" si="10"/>
        <v>0.989875699594382+0.0111152768800551j</v>
      </c>
      <c r="O105" s="159" t="str">
        <f t="shared" si="11"/>
        <v>1.02163799980786+1.01613571248726j</v>
      </c>
      <c r="P105" s="159" t="str">
        <f t="shared" si="12"/>
        <v>6.53195124752278+6.49677178813033j</v>
      </c>
      <c r="R105" s="159">
        <f t="shared" si="13"/>
        <v>31.968031968031973</v>
      </c>
      <c r="S105" s="159" t="str">
        <f t="shared" si="14"/>
        <v>1+0.00014529407777749j</v>
      </c>
      <c r="T105" s="159" t="str">
        <f t="shared" si="15"/>
        <v>0.989875699594382+0.0111152768800551j</v>
      </c>
      <c r="U105" s="159" t="str">
        <f t="shared" si="16"/>
        <v>1.01010213505466-0.0111956186367955j</v>
      </c>
      <c r="V105" s="159" t="str">
        <f t="shared" si="17"/>
        <v>32.2909773444047-0.357901894482973j</v>
      </c>
      <c r="X105" s="159" t="str">
        <f t="shared" si="18"/>
        <v>0.257097516678681+0.253598477182354j</v>
      </c>
      <c r="Y105" s="159">
        <f t="shared" si="19"/>
        <v>-8.8468470684676213</v>
      </c>
      <c r="Z105" s="159">
        <f t="shared" si="20"/>
        <v>-135.39255655208976</v>
      </c>
      <c r="AB105" s="159" t="str">
        <f t="shared" si="21"/>
        <v>14.2219675597466-0.157631312258522j</v>
      </c>
      <c r="AC105" s="159">
        <f t="shared" si="22"/>
        <v>23.059727159902344</v>
      </c>
      <c r="AD105" s="159">
        <f t="shared" si="23"/>
        <v>179.36497962995739</v>
      </c>
      <c r="AF105" s="159" t="str">
        <f t="shared" si="24"/>
        <v>10.8466229604204-2.31351851308738j</v>
      </c>
      <c r="AG105" s="159">
        <f t="shared" si="25"/>
        <v>20.899107521321913</v>
      </c>
      <c r="AH105" s="159">
        <f t="shared" si="26"/>
        <v>167.95958588780073</v>
      </c>
      <c r="AJ105" s="159" t="str">
        <f t="shared" si="27"/>
        <v>157397.659310971-4013.5003308135j</v>
      </c>
      <c r="AK105" s="159" t="str">
        <f t="shared" si="28"/>
        <v>30000-3.73613342856405E-06j</v>
      </c>
      <c r="AL105" s="159" t="str">
        <f t="shared" si="43"/>
        <v>10000-5353127.87468805j</v>
      </c>
      <c r="AM105" s="159" t="str">
        <f t="shared" si="44"/>
        <v>963.137521505237-1661316.78814812j</v>
      </c>
      <c r="AN105" s="159" t="str">
        <f t="shared" si="45"/>
        <v>10963.1375215052-1661316.78814812j</v>
      </c>
      <c r="AO105" s="159" t="str">
        <f t="shared" si="46"/>
        <v>29986.6504427443-541.409785822838j</v>
      </c>
      <c r="AP105" s="159" t="str">
        <f t="shared" si="47"/>
        <v>0.160013981768224+0.00342702341098906j</v>
      </c>
      <c r="AQ105" s="159" t="str">
        <f t="shared" si="29"/>
        <v>1+0.414710810570608j</v>
      </c>
      <c r="AR105" s="159">
        <f t="shared" si="51"/>
        <v>7.4176417957337779E-8</v>
      </c>
      <c r="AS105" s="159" t="str">
        <f t="shared" si="31"/>
        <v>0.0000113121402572252j</v>
      </c>
      <c r="AT105" s="159" t="str">
        <f t="shared" si="32"/>
        <v>7.41764179573378E-08+0.0000113121402572252j</v>
      </c>
      <c r="AU105" s="159" t="str">
        <f t="shared" si="33"/>
        <v>5.5858121666616-13.223462674674j</v>
      </c>
      <c r="AW105" s="159" t="str">
        <f t="shared" si="48"/>
        <v>0.933066102368176-2.0994898302422j</v>
      </c>
      <c r="AX105" s="159">
        <f t="shared" si="34"/>
        <v>7.2250804926400916</v>
      </c>
      <c r="AY105" s="159">
        <f t="shared" si="35"/>
        <v>113.9615662742012</v>
      </c>
      <c r="AZ105" s="159" t="str">
        <f t="shared" si="36"/>
        <v>12.9390905019649-30.0059566918628j</v>
      </c>
      <c r="BA105" s="159">
        <f t="shared" si="37"/>
        <v>30.284807652542458</v>
      </c>
      <c r="BB105" s="159">
        <f t="shared" si="38"/>
        <v>113.32654590415854</v>
      </c>
      <c r="BD105" s="159" t="str">
        <f t="shared" si="39"/>
        <v>5.26340761923262-24.9310402996373j</v>
      </c>
      <c r="BE105" s="159">
        <f t="shared" si="40"/>
        <v>28.124188013962033</v>
      </c>
      <c r="BF105" s="159">
        <f t="shared" si="41"/>
        <v>101.9211521620019</v>
      </c>
      <c r="BH105" s="159">
        <f t="shared" si="49"/>
        <v>-27.124188013962033</v>
      </c>
      <c r="BI105" s="169">
        <f t="shared" si="50"/>
        <v>-101.9211521620019</v>
      </c>
      <c r="BN105" s="165"/>
      <c r="BO105" s="165"/>
      <c r="BP105" s="165"/>
    </row>
    <row r="106" spans="1:68" s="159" customFormat="1">
      <c r="A106" s="159">
        <v>42</v>
      </c>
      <c r="B106" s="159">
        <f t="shared" si="42"/>
        <v>691.83097091893671</v>
      </c>
      <c r="C106" s="159" t="str">
        <f t="shared" si="0"/>
        <v>4346.90219152965j</v>
      </c>
      <c r="D106" s="159">
        <f t="shared" si="1"/>
        <v>0.99999234191852282</v>
      </c>
      <c r="E106" s="159" t="str">
        <f t="shared" si="2"/>
        <v>-0.00434690219152965j</v>
      </c>
      <c r="F106" s="159" t="str">
        <f t="shared" si="3"/>
        <v>0.999992341918523-0.00434690219152965j</v>
      </c>
      <c r="G106" s="159">
        <f t="shared" si="4"/>
        <v>1.5545344924285797E-5</v>
      </c>
      <c r="H106" s="159">
        <f t="shared" si="5"/>
        <v>-0.2490594881385049</v>
      </c>
      <c r="J106" s="159">
        <f t="shared" si="6"/>
        <v>6.3936063936063938</v>
      </c>
      <c r="K106" s="159" t="str">
        <f t="shared" si="7"/>
        <v>1+1.06514317850147j</v>
      </c>
      <c r="L106" s="159">
        <f t="shared" si="8"/>
        <v>0.98889892535403578</v>
      </c>
      <c r="M106" s="159" t="str">
        <f t="shared" si="9"/>
        <v>0.0116391237405958j</v>
      </c>
      <c r="N106" s="159" t="str">
        <f t="shared" si="10"/>
        <v>0.988898925354036+0.0116391237405958j</v>
      </c>
      <c r="O106" s="159" t="str">
        <f t="shared" si="11"/>
        <v>1.02376110538059+1.06505070367841j</v>
      </c>
      <c r="P106" s="159" t="str">
        <f t="shared" si="12"/>
        <v>6.54552554888689+6.80951498855327j</v>
      </c>
      <c r="R106" s="159">
        <f t="shared" si="13"/>
        <v>31.968031968031973</v>
      </c>
      <c r="S106" s="159" t="str">
        <f t="shared" si="14"/>
        <v>1+0.000152141576703538j</v>
      </c>
      <c r="T106" s="159" t="str">
        <f t="shared" si="15"/>
        <v>0.988898925354036+0.0116391237405958j</v>
      </c>
      <c r="U106" s="159" t="str">
        <f t="shared" si="16"/>
        <v>1.01108743900246-0.0117464282148447j</v>
      </c>
      <c r="V106" s="159" t="str">
        <f t="shared" si="17"/>
        <v>32.3224755725062-0.375510192682348j</v>
      </c>
      <c r="X106" s="159" t="str">
        <f t="shared" si="18"/>
        <v>0.257732543022589+0.265804843533484j</v>
      </c>
      <c r="Y106" s="159">
        <f t="shared" si="19"/>
        <v>-8.6303135805340361</v>
      </c>
      <c r="Z106" s="159">
        <f t="shared" si="20"/>
        <v>-134.1166397752738</v>
      </c>
      <c r="AB106" s="159" t="str">
        <f t="shared" si="21"/>
        <v>14.2358403754707-0.165386563612573j</v>
      </c>
      <c r="AC106" s="159">
        <f t="shared" si="22"/>
        <v>23.068248317123349</v>
      </c>
      <c r="AD106" s="159">
        <f t="shared" si="23"/>
        <v>179.33438943204922</v>
      </c>
      <c r="AF106" s="159" t="str">
        <f t="shared" si="24"/>
        <v>10.8081394716716-2.41565060999915j</v>
      </c>
      <c r="AG106" s="159">
        <f t="shared" si="25"/>
        <v>20.886719670222654</v>
      </c>
      <c r="AH106" s="159">
        <f t="shared" si="26"/>
        <v>167.40128643106453</v>
      </c>
      <c r="AJ106" s="159" t="str">
        <f t="shared" si="27"/>
        <v>157387.792700156-4202.38732714362j</v>
      </c>
      <c r="AK106" s="159" t="str">
        <f t="shared" si="28"/>
        <v>30000-0.0000039122119723767j</v>
      </c>
      <c r="AL106" s="159" t="str">
        <f t="shared" si="43"/>
        <v>10000-5112197.43235179j</v>
      </c>
      <c r="AM106" s="159" t="str">
        <f t="shared" si="44"/>
        <v>963.137367276443-1586545.33003936j</v>
      </c>
      <c r="AN106" s="159" t="str">
        <f t="shared" si="45"/>
        <v>10963.1373672764-1586545.33003936j</v>
      </c>
      <c r="AO106" s="159" t="str">
        <f t="shared" si="46"/>
        <v>29985.3633617057-566.892370832752j</v>
      </c>
      <c r="AP106" s="159" t="str">
        <f t="shared" si="47"/>
        <v>0.160015330679381+0.00358852828575407j</v>
      </c>
      <c r="AQ106" s="159" t="str">
        <f t="shared" si="29"/>
        <v>1+0.434255528933812j</v>
      </c>
      <c r="AR106" s="159">
        <f t="shared" si="51"/>
        <v>7.1685005343906138E-8</v>
      </c>
      <c r="AS106" s="159" t="str">
        <f t="shared" si="31"/>
        <v>0.0000118452650028964j</v>
      </c>
      <c r="AT106" s="159" t="str">
        <f t="shared" si="32"/>
        <v>7.16850053439061E-08+0.0000118452650028964j</v>
      </c>
      <c r="AU106" s="159" t="str">
        <f t="shared" si="33"/>
        <v>5.57553405413908-12.629545879721j</v>
      </c>
      <c r="AW106" s="159" t="str">
        <f t="shared" si="48"/>
        <v>0.931437210791421-2.00372864598587j</v>
      </c>
      <c r="AX106" s="159">
        <f t="shared" si="34"/>
        <v>6.8864258679936459</v>
      </c>
      <c r="AY106" s="159">
        <f t="shared" si="35"/>
        <v>114.93145369358891</v>
      </c>
      <c r="AZ106" s="159" t="str">
        <f t="shared" si="36"/>
        <v>12.9284016574286-28.6788083595265j</v>
      </c>
      <c r="BA106" s="159">
        <f t="shared" si="37"/>
        <v>29.954674185116975</v>
      </c>
      <c r="BB106" s="159">
        <f t="shared" si="38"/>
        <v>114.26584312563811</v>
      </c>
      <c r="BD106" s="159" t="str">
        <f t="shared" si="39"/>
        <v>5.22679495738985-23.9066055356231j</v>
      </c>
      <c r="BE106" s="159">
        <f t="shared" si="40"/>
        <v>27.773145538216273</v>
      </c>
      <c r="BF106" s="159">
        <f t="shared" si="41"/>
        <v>102.33274012465333</v>
      </c>
      <c r="BH106" s="159">
        <f t="shared" si="49"/>
        <v>-26.773145538216273</v>
      </c>
      <c r="BI106" s="169">
        <f t="shared" si="50"/>
        <v>-102.33274012465333</v>
      </c>
      <c r="BN106" s="165"/>
      <c r="BO106" s="165"/>
      <c r="BP106" s="165"/>
    </row>
    <row r="107" spans="1:68" s="159" customFormat="1">
      <c r="A107" s="159">
        <v>43</v>
      </c>
      <c r="B107" s="159">
        <f t="shared" si="42"/>
        <v>724.43596007499025</v>
      </c>
      <c r="C107" s="159" t="str">
        <f t="shared" si="0"/>
        <v>4551.76538033572j</v>
      </c>
      <c r="D107" s="159">
        <f t="shared" si="1"/>
        <v>0.99999160308063595</v>
      </c>
      <c r="E107" s="159" t="str">
        <f t="shared" si="2"/>
        <v>-0.00455176538033572j</v>
      </c>
      <c r="F107" s="159" t="str">
        <f t="shared" si="3"/>
        <v>0.999991603080636-0.00455176538033572j</v>
      </c>
      <c r="G107" s="159">
        <f t="shared" si="4"/>
        <v>1.7045155759067896E-5</v>
      </c>
      <c r="H107" s="159">
        <f t="shared" si="5"/>
        <v>-0.26079733440023556</v>
      </c>
      <c r="J107" s="159">
        <f t="shared" si="6"/>
        <v>6.3936063936063938</v>
      </c>
      <c r="K107" s="159" t="str">
        <f t="shared" si="7"/>
        <v>1+1.11534182997056j</v>
      </c>
      <c r="L107" s="159">
        <f t="shared" si="8"/>
        <v>0.98782791369694234</v>
      </c>
      <c r="M107" s="159" t="str">
        <f t="shared" si="9"/>
        <v>0.0121876587430748j</v>
      </c>
      <c r="N107" s="159" t="str">
        <f t="shared" si="10"/>
        <v>0.987827913696942+0.0121876587430748j</v>
      </c>
      <c r="O107" s="159" t="str">
        <f t="shared" si="11"/>
        <v>1.02609634435772+1.11642534352026j</v>
      </c>
      <c r="P107" s="159" t="str">
        <f t="shared" si="12"/>
        <v>6.56045614774167+7.13798421431535j</v>
      </c>
      <c r="R107" s="159">
        <f t="shared" si="13"/>
        <v>31.968031968031973</v>
      </c>
      <c r="S107" s="159" t="str">
        <f t="shared" si="14"/>
        <v>1+0.00015931178831175j</v>
      </c>
      <c r="T107" s="159" t="str">
        <f t="shared" si="15"/>
        <v>0.987827913696942+0.0121876587430748j</v>
      </c>
      <c r="U107" s="159" t="str">
        <f t="shared" si="16"/>
        <v>1.01216998666684-0.0123267124064101j</v>
      </c>
      <c r="V107" s="159" t="str">
        <f t="shared" si="17"/>
        <v>32.357082490848-0.394060736268854j</v>
      </c>
      <c r="X107" s="159" t="str">
        <f t="shared" si="18"/>
        <v>0.258430893006022+0.278624784490545j</v>
      </c>
      <c r="Y107" s="159">
        <f t="shared" si="19"/>
        <v>-8.4037778059330464</v>
      </c>
      <c r="Z107" s="159">
        <f t="shared" si="20"/>
        <v>-132.84662935241028</v>
      </c>
      <c r="AB107" s="159" t="str">
        <f t="shared" si="21"/>
        <v>14.2510823566827-0.173556809631735j</v>
      </c>
      <c r="AC107" s="159">
        <f t="shared" si="22"/>
        <v>23.077601077190629</v>
      </c>
      <c r="AD107" s="159">
        <f t="shared" si="23"/>
        <v>179.30225783057952</v>
      </c>
      <c r="AF107" s="159" t="str">
        <f t="shared" si="24"/>
        <v>10.7661828072945-2.5216181450536j</v>
      </c>
      <c r="AG107" s="159">
        <f t="shared" si="25"/>
        <v>20.873172493502224</v>
      </c>
      <c r="AH107" s="159">
        <f t="shared" si="26"/>
        <v>166.81799562288944</v>
      </c>
      <c r="AJ107" s="159" t="str">
        <f t="shared" si="27"/>
        <v>157376.975598195-4400.13730249837j</v>
      </c>
      <c r="AK107" s="159" t="str">
        <f t="shared" si="28"/>
        <v>30000-4.09658884230216E-06j</v>
      </c>
      <c r="AL107" s="159" t="str">
        <f t="shared" si="43"/>
        <v>10000-4882110.64617378j</v>
      </c>
      <c r="AM107" s="159" t="str">
        <f t="shared" si="44"/>
        <v>963.137198167998-1515139.14728741j</v>
      </c>
      <c r="AN107" s="159" t="str">
        <f t="shared" si="45"/>
        <v>10963.137198168-1515139.14728741j</v>
      </c>
      <c r="AO107" s="159" t="str">
        <f t="shared" si="46"/>
        <v>29983.9522792634-593.570988399537j</v>
      </c>
      <c r="AP107" s="159" t="str">
        <f t="shared" si="47"/>
        <v>0.160016809726075+0.00375764379702265j</v>
      </c>
      <c r="AQ107" s="159" t="str">
        <f t="shared" si="29"/>
        <v>1+0.454721361495538j</v>
      </c>
      <c r="AR107" s="159">
        <f t="shared" si="51"/>
        <v>6.8953225735682225E-8</v>
      </c>
      <c r="AS107" s="159" t="str">
        <f t="shared" si="31"/>
        <v>0.000012403515143761j</v>
      </c>
      <c r="AT107" s="159" t="str">
        <f t="shared" si="32"/>
        <v>6.89532257356822E-08+0.000012403515143761j</v>
      </c>
      <c r="AU107" s="159" t="str">
        <f t="shared" si="33"/>
        <v>5.56615967366794-12.0624027625587j</v>
      </c>
      <c r="AW107" s="159" t="str">
        <f t="shared" si="48"/>
        <v>0.929954372218008-1.91221521401269j</v>
      </c>
      <c r="AX107" s="159">
        <f t="shared" si="34"/>
        <v>6.5527121629727834</v>
      </c>
      <c r="AY107" s="159">
        <f t="shared" si="35"/>
        <v>115.93472377027159</v>
      </c>
      <c r="AZ107" s="159" t="str">
        <f t="shared" si="36"/>
        <v>12.9209783745627-27.4125364125417j</v>
      </c>
      <c r="BA107" s="159">
        <f t="shared" si="37"/>
        <v>29.630313240163414</v>
      </c>
      <c r="BB107" s="159">
        <f t="shared" si="38"/>
        <v>115.23698160085115</v>
      </c>
      <c r="BD107" s="159" t="str">
        <f t="shared" si="39"/>
        <v>5.19018219283995-22.9322483800073j</v>
      </c>
      <c r="BE107" s="159">
        <f t="shared" si="40"/>
        <v>27.425884656475024</v>
      </c>
      <c r="BF107" s="159">
        <f t="shared" si="41"/>
        <v>102.7527193931611</v>
      </c>
      <c r="BH107" s="159">
        <f t="shared" si="49"/>
        <v>-26.425884656475024</v>
      </c>
      <c r="BI107" s="169">
        <f t="shared" si="50"/>
        <v>-102.7527193931611</v>
      </c>
      <c r="BN107" s="165"/>
      <c r="BO107" s="165"/>
      <c r="BP107" s="165"/>
    </row>
    <row r="108" spans="1:68" s="159" customFormat="1">
      <c r="A108" s="159">
        <v>44</v>
      </c>
      <c r="B108" s="159">
        <f t="shared" si="42"/>
        <v>758.57757502918378</v>
      </c>
      <c r="C108" s="159" t="str">
        <f t="shared" si="0"/>
        <v>4766.28347377929j</v>
      </c>
      <c r="D108" s="159">
        <f t="shared" si="1"/>
        <v>0.99999079296100257</v>
      </c>
      <c r="E108" s="159" t="str">
        <f t="shared" si="2"/>
        <v>-0.00476628347377929j</v>
      </c>
      <c r="F108" s="159" t="str">
        <f t="shared" si="3"/>
        <v>0.999990792961003-0.00476628347377929j</v>
      </c>
      <c r="G108" s="159">
        <f t="shared" si="4"/>
        <v>1.8689670497095179E-5</v>
      </c>
      <c r="H108" s="159">
        <f t="shared" si="5"/>
        <v>-0.27308837338139946</v>
      </c>
      <c r="J108" s="159">
        <f t="shared" si="6"/>
        <v>6.3936063936063938</v>
      </c>
      <c r="K108" s="159" t="str">
        <f t="shared" si="7"/>
        <v>1+1.16790627099751j</v>
      </c>
      <c r="L108" s="159">
        <f t="shared" si="8"/>
        <v>0.98665357276712418</v>
      </c>
      <c r="M108" s="159" t="str">
        <f t="shared" si="9"/>
        <v>0.0127620454037758j</v>
      </c>
      <c r="N108" s="159" t="str">
        <f t="shared" si="10"/>
        <v>0.986653572767124+0.0127620454037758j</v>
      </c>
      <c r="O108" s="159" t="str">
        <f t="shared" si="11"/>
        <v>1.02866569754603+1.17039903825765j</v>
      </c>
      <c r="P108" s="159" t="str">
        <f t="shared" si="12"/>
        <v>6.57688358071388+7.48307077407488j</v>
      </c>
      <c r="R108" s="159">
        <f t="shared" si="13"/>
        <v>31.968031968031973</v>
      </c>
      <c r="S108" s="159" t="str">
        <f t="shared" si="14"/>
        <v>1+0.000166819921582275j</v>
      </c>
      <c r="T108" s="159" t="str">
        <f t="shared" si="15"/>
        <v>0.986653572767124+0.0127620454037758j</v>
      </c>
      <c r="U108" s="159" t="str">
        <f t="shared" si="16"/>
        <v>1.01335960980801-0.0129384028817105j</v>
      </c>
      <c r="V108" s="159" t="str">
        <f t="shared" si="17"/>
        <v>32.3951124014549-0.413615276937798j</v>
      </c>
      <c r="X108" s="159" t="str">
        <f t="shared" si="18"/>
        <v>0.259199102517152+0.292093044757161j</v>
      </c>
      <c r="Y108" s="159">
        <f t="shared" si="19"/>
        <v>-8.1672297544914123</v>
      </c>
      <c r="Z108" s="159">
        <f t="shared" si="20"/>
        <v>-131.58538172373574</v>
      </c>
      <c r="AB108" s="159" t="str">
        <f t="shared" si="21"/>
        <v>14.2678319319335-0.182169247715392j</v>
      </c>
      <c r="AC108" s="159">
        <f t="shared" si="22"/>
        <v>23.087867616601642</v>
      </c>
      <c r="AD108" s="159">
        <f t="shared" si="23"/>
        <v>179.26849699450599</v>
      </c>
      <c r="AF108" s="159" t="str">
        <f t="shared" si="24"/>
        <v>10.7204638243482-2.63146801864333j</v>
      </c>
      <c r="AG108" s="159">
        <f t="shared" si="25"/>
        <v>20.858361137902278</v>
      </c>
      <c r="AH108" s="159">
        <f t="shared" si="26"/>
        <v>166.20872256054551</v>
      </c>
      <c r="AJ108" s="159" t="str">
        <f t="shared" si="27"/>
        <v>157365.116590617-4607.16218985538j</v>
      </c>
      <c r="AK108" s="159" t="str">
        <f t="shared" si="28"/>
        <v>30000-4.28965512640137E-06j</v>
      </c>
      <c r="AL108" s="159" t="str">
        <f t="shared" si="43"/>
        <v>10000-4662379.47123228j</v>
      </c>
      <c r="AM108" s="159" t="str">
        <f t="shared" si="44"/>
        <v>963.137012744341-1446946.77780506j</v>
      </c>
      <c r="AN108" s="159" t="str">
        <f t="shared" si="45"/>
        <v>10963.1370127443-1446946.77780506j</v>
      </c>
      <c r="AO108" s="159" t="str">
        <f t="shared" si="46"/>
        <v>29982.4052671098-621.501277410018j</v>
      </c>
      <c r="AP108" s="159" t="str">
        <f t="shared" si="47"/>
        <v>0.16001843146254+0.00393472849656299j</v>
      </c>
      <c r="AQ108" s="159" t="str">
        <f t="shared" si="29"/>
        <v>1+0.476151719030551j</v>
      </c>
      <c r="AR108" s="159">
        <f t="shared" si="51"/>
        <v>6.5957888958596217E-8</v>
      </c>
      <c r="AS108" s="159" t="str">
        <f t="shared" si="31"/>
        <v>0.0000129880748032138j</v>
      </c>
      <c r="AT108" s="159" t="str">
        <f t="shared" si="32"/>
        <v>6.59578889585962E-08+0.0000129880748032138j</v>
      </c>
      <c r="AU108" s="159" t="str">
        <f t="shared" si="33"/>
        <v>5.55760947841177-11.5208323079662j</v>
      </c>
      <c r="AW108" s="159" t="str">
        <f t="shared" si="48"/>
        <v>0.928605003961811-1.82475574038633j</v>
      </c>
      <c r="AX108" s="159">
        <f t="shared" si="34"/>
        <v>6.2242549728826901</v>
      </c>
      <c r="AY108" s="159">
        <f t="shared" si="35"/>
        <v>116.97121415158605</v>
      </c>
      <c r="AZ108" s="159" t="str">
        <f t="shared" si="36"/>
        <v>12.916765747189-26.2044714956594j</v>
      </c>
      <c r="BA108" s="159">
        <f t="shared" si="37"/>
        <v>29.312122589484304</v>
      </c>
      <c r="BB108" s="159">
        <f t="shared" si="38"/>
        <v>116.23971114609208</v>
      </c>
      <c r="BD108" s="159" t="str">
        <f t="shared" si="39"/>
        <v>5.15328997941887-22.005822272961j</v>
      </c>
      <c r="BE108" s="159">
        <f t="shared" si="40"/>
        <v>27.082616110784961</v>
      </c>
      <c r="BF108" s="159">
        <f t="shared" si="41"/>
        <v>103.17993671213161</v>
      </c>
      <c r="BH108" s="159">
        <f t="shared" si="49"/>
        <v>-26.082616110784961</v>
      </c>
      <c r="BI108" s="169">
        <f t="shared" si="50"/>
        <v>-103.17993671213161</v>
      </c>
      <c r="BN108" s="165"/>
      <c r="BO108" s="165"/>
      <c r="BP108" s="165"/>
    </row>
    <row r="109" spans="1:68" s="159" customFormat="1">
      <c r="A109" s="159">
        <v>45</v>
      </c>
      <c r="B109" s="159">
        <f t="shared" si="42"/>
        <v>794.32823472428174</v>
      </c>
      <c r="C109" s="159" t="str">
        <f t="shared" si="0"/>
        <v>4990.91149349751j</v>
      </c>
      <c r="D109" s="159">
        <f t="shared" si="1"/>
        <v>0.99998990468248827</v>
      </c>
      <c r="E109" s="159" t="str">
        <f t="shared" si="2"/>
        <v>-0.00499091149349751j</v>
      </c>
      <c r="F109" s="159" t="str">
        <f t="shared" si="3"/>
        <v>0.999989904682488-0.00499091149349751j</v>
      </c>
      <c r="G109" s="159">
        <f t="shared" si="4"/>
        <v>2.0492850878393293E-5</v>
      </c>
      <c r="H109" s="159">
        <f t="shared" si="5"/>
        <v>-0.28595867700245897</v>
      </c>
      <c r="J109" s="159">
        <f t="shared" si="6"/>
        <v>6.3936063936063938</v>
      </c>
      <c r="K109" s="159" t="str">
        <f t="shared" si="7"/>
        <v>1+1.22294799780916j</v>
      </c>
      <c r="L109" s="159">
        <f t="shared" si="8"/>
        <v>0.98536593354274005</v>
      </c>
      <c r="M109" s="159" t="str">
        <f t="shared" si="9"/>
        <v>0.0133635020738154j</v>
      </c>
      <c r="N109" s="159" t="str">
        <f t="shared" si="10"/>
        <v>0.98536593354274+0.0133635020738154j</v>
      </c>
      <c r="O109" s="159" t="str">
        <f t="shared" si="11"/>
        <v>1.03149358514752+1.22712140737152j</v>
      </c>
      <c r="P109" s="159" t="str">
        <f t="shared" si="12"/>
        <v>6.59496398096316+7.84573127590183j</v>
      </c>
      <c r="R109" s="159">
        <f t="shared" si="13"/>
        <v>31.968031968031973</v>
      </c>
      <c r="S109" s="159" t="str">
        <f t="shared" si="14"/>
        <v>1+0.000174681902272413j</v>
      </c>
      <c r="T109" s="159" t="str">
        <f t="shared" si="15"/>
        <v>0.98536593354274+0.0133635020738154j</v>
      </c>
      <c r="U109" s="159" t="str">
        <f t="shared" si="16"/>
        <v>1.01466718239854-0.0135836085238098j</v>
      </c>
      <c r="V109" s="159" t="str">
        <f t="shared" si="17"/>
        <v>32.4369129238295-0.434241231530383j</v>
      </c>
      <c r="X109" s="159" t="str">
        <f t="shared" si="18"/>
        <v>0.26004442767081+0.306246910302018j</v>
      </c>
      <c r="Y109" s="159">
        <f t="shared" si="19"/>
        <v>-7.9206882409240436</v>
      </c>
      <c r="Z109" s="159">
        <f t="shared" si="20"/>
        <v>-130.33569268689905</v>
      </c>
      <c r="AB109" s="159" t="str">
        <f t="shared" si="21"/>
        <v>14.2862422038448-0.191253570372333j</v>
      </c>
      <c r="AC109" s="159">
        <f t="shared" si="22"/>
        <v>23.099138441248979</v>
      </c>
      <c r="AD109" s="159">
        <f t="shared" si="23"/>
        <v>179.23301259449278</v>
      </c>
      <c r="AF109" s="159" t="str">
        <f t="shared" si="24"/>
        <v>10.6706740126076-2.74523218516001j</v>
      </c>
      <c r="AG109" s="159">
        <f t="shared" si="25"/>
        <v>20.842171972346016</v>
      </c>
      <c r="AH109" s="159">
        <f t="shared" si="26"/>
        <v>165.57245517174826</v>
      </c>
      <c r="AJ109" s="159" t="str">
        <f t="shared" si="27"/>
        <v>157352.115501426-4823.89248434725j</v>
      </c>
      <c r="AK109" s="159" t="str">
        <f t="shared" si="28"/>
        <v>30000-4.49182034414775E-06j</v>
      </c>
      <c r="AL109" s="159" t="str">
        <f t="shared" si="43"/>
        <v>10000-4452537.82824536j</v>
      </c>
      <c r="AM109" s="159" t="str">
        <f t="shared" si="44"/>
        <v>963.136809431429-1381823.57643391j</v>
      </c>
      <c r="AN109" s="159" t="str">
        <f t="shared" si="45"/>
        <v>10963.1368094314-1381823.57643391j</v>
      </c>
      <c r="AO109" s="159" t="str">
        <f t="shared" si="46"/>
        <v>29980.7092532067-650.741391331977j</v>
      </c>
      <c r="AP109" s="159" t="str">
        <f t="shared" si="47"/>
        <v>0.160020209654014+0.00412015781543047j</v>
      </c>
      <c r="AQ109" s="159" t="str">
        <f t="shared" si="29"/>
        <v>1+0.498592058200401j</v>
      </c>
      <c r="AR109" s="159">
        <f t="shared" si="51"/>
        <v>6.2673567492415629E-8</v>
      </c>
      <c r="AS109" s="159" t="str">
        <f t="shared" si="31"/>
        <v>0.0000136001839106658j</v>
      </c>
      <c r="AT109" s="159" t="str">
        <f t="shared" si="32"/>
        <v>6.26735674924156E-08+0.0000136001839106658j</v>
      </c>
      <c r="AU109" s="159" t="str">
        <f t="shared" si="33"/>
        <v>5.54981091258616-11.0036874893903j</v>
      </c>
      <c r="AW109" s="159" t="str">
        <f t="shared" si="48"/>
        <v>0.927377655486546-1.74116498990349j</v>
      </c>
      <c r="AX109" s="159">
        <f t="shared" si="34"/>
        <v>5.9013766235778045</v>
      </c>
      <c r="AY109" s="159">
        <f t="shared" si="35"/>
        <v>118.04061545964589</v>
      </c>
      <c r="AZ109" s="159" t="str">
        <f t="shared" si="36"/>
        <v>12.9157377797881-25.0520690503115j</v>
      </c>
      <c r="BA109" s="159">
        <f t="shared" si="37"/>
        <v>29.00051506482675</v>
      </c>
      <c r="BB109" s="159">
        <f t="shared" si="38"/>
        <v>117.27362805413856</v>
      </c>
      <c r="BD109" s="159" t="str">
        <f t="shared" si="39"/>
        <v>5.1158424783163-21.1252709970651j</v>
      </c>
      <c r="BE109" s="159">
        <f t="shared" si="40"/>
        <v>26.743548595923762</v>
      </c>
      <c r="BF109" s="159">
        <f t="shared" si="41"/>
        <v>103.61307063139401</v>
      </c>
      <c r="BH109" s="159">
        <f t="shared" si="49"/>
        <v>-25.743548595923762</v>
      </c>
      <c r="BI109" s="169">
        <f t="shared" si="50"/>
        <v>-103.61307063139401</v>
      </c>
      <c r="BN109" s="165"/>
      <c r="BO109" s="165"/>
      <c r="BP109" s="165"/>
    </row>
    <row r="110" spans="1:68" s="159" customFormat="1">
      <c r="A110" s="159">
        <v>46</v>
      </c>
      <c r="B110" s="159">
        <f t="shared" si="42"/>
        <v>831.76377110267106</v>
      </c>
      <c r="C110" s="159" t="str">
        <f t="shared" si="0"/>
        <v>5226.12590563659j</v>
      </c>
      <c r="D110" s="159">
        <f t="shared" si="1"/>
        <v>0.99998893070446526</v>
      </c>
      <c r="E110" s="159" t="str">
        <f t="shared" si="2"/>
        <v>-0.00522612590563659j</v>
      </c>
      <c r="F110" s="159" t="str">
        <f t="shared" si="3"/>
        <v>0.999988930704465-0.00522612590563659j</v>
      </c>
      <c r="G110" s="159">
        <f t="shared" si="4"/>
        <v>2.2470005873890397E-5</v>
      </c>
      <c r="H110" s="159">
        <f t="shared" si="5"/>
        <v>-0.29943554602685801</v>
      </c>
      <c r="J110" s="159">
        <f t="shared" si="6"/>
        <v>6.3936063936063938</v>
      </c>
      <c r="K110" s="159" t="str">
        <f t="shared" si="7"/>
        <v>1+1.28058376128766j</v>
      </c>
      <c r="L110" s="159">
        <f t="shared" si="8"/>
        <v>0.9839540652087041</v>
      </c>
      <c r="M110" s="159" t="str">
        <f t="shared" si="9"/>
        <v>0.0139933045234295j</v>
      </c>
      <c r="N110" s="159" t="str">
        <f t="shared" si="10"/>
        <v>0.983954065208704+0.0139933045234295j</v>
      </c>
      <c r="O110" s="159" t="str">
        <f t="shared" si="11"/>
        <v>1.0346071706456+1.28675334840772j</v>
      </c>
      <c r="P110" s="159" t="str">
        <f t="shared" si="12"/>
        <v>6.61487102111073+8.22699443537403j</v>
      </c>
      <c r="R110" s="159">
        <f t="shared" si="13"/>
        <v>31.968031968031973</v>
      </c>
      <c r="S110" s="159" t="str">
        <f t="shared" si="14"/>
        <v>1+0.000182914406697281j</v>
      </c>
      <c r="T110" s="159" t="str">
        <f t="shared" si="15"/>
        <v>0.983954065208704+0.0139933045234295j</v>
      </c>
      <c r="U110" s="159" t="str">
        <f t="shared" si="16"/>
        <v>1.01610474099-0.0142646381146859j</v>
      </c>
      <c r="V110" s="159" t="str">
        <f t="shared" si="17"/>
        <v>32.4828688428372-0.456012407262686j</v>
      </c>
      <c r="X110" s="159" t="str">
        <f t="shared" si="18"/>
        <v>0.260974933539948+0.32112647282037j</v>
      </c>
      <c r="Y110" s="159">
        <f t="shared" si="19"/>
        <v>-7.6641981998506505</v>
      </c>
      <c r="Z110" s="159">
        <f t="shared" si="20"/>
        <v>-129.10027166013617</v>
      </c>
      <c r="AB110" s="159" t="str">
        <f t="shared" si="21"/>
        <v>14.3064826438393-0.200842284634524j</v>
      </c>
      <c r="AC110" s="159">
        <f t="shared" si="22"/>
        <v>23.111513273681652</v>
      </c>
      <c r="AD110" s="159">
        <f t="shared" si="23"/>
        <v>179.19570311800598</v>
      </c>
      <c r="AF110" s="159" t="str">
        <f t="shared" si="24"/>
        <v>10.6164851251957-2.86292503571339j</v>
      </c>
      <c r="AG110" s="159">
        <f t="shared" si="25"/>
        <v>20.824481988575933</v>
      </c>
      <c r="AH110" s="159">
        <f t="shared" si="26"/>
        <v>164.90816247661792</v>
      </c>
      <c r="AJ110" s="159" t="str">
        <f t="shared" si="27"/>
        <v>157337.862559492-5050.77799258092j</v>
      </c>
      <c r="AK110" s="159" t="str">
        <f t="shared" si="28"/>
        <v>30000-4.70351331507294E-06j</v>
      </c>
      <c r="AL110" s="159" t="str">
        <f t="shared" si="43"/>
        <v>10000-4252140.6149543j</v>
      </c>
      <c r="AM110" s="159" t="str">
        <f t="shared" si="44"/>
        <v>963.136586503354-1319631.40813263j</v>
      </c>
      <c r="AN110" s="159" t="str">
        <f t="shared" si="45"/>
        <v>10963.1365865034-1319631.40813263j</v>
      </c>
      <c r="AO110" s="159" t="str">
        <f t="shared" si="46"/>
        <v>29978.8499128708-681.352100862882j</v>
      </c>
      <c r="AP110" s="159" t="str">
        <f t="shared" si="47"/>
        <v>0.160022159393543+0.00431432485668864j</v>
      </c>
      <c r="AQ110" s="159" t="str">
        <f t="shared" si="29"/>
        <v>1+0.522089977973095j</v>
      </c>
      <c r="AR110" s="159">
        <f t="shared" si="51"/>
        <v>5.907238061562349E-8</v>
      </c>
      <c r="AS110" s="159" t="str">
        <f t="shared" si="31"/>
        <v>0.0000142411408316007j</v>
      </c>
      <c r="AT110" s="159" t="str">
        <f t="shared" si="32"/>
        <v>5.90723806156235E-08+0.0000142411408316007j</v>
      </c>
      <c r="AU110" s="159" t="str">
        <f t="shared" si="33"/>
        <v>5.54269779645292-10.509872868753j</v>
      </c>
      <c r="AW110" s="159" t="str">
        <f t="shared" si="48"/>
        <v>0.926261911348065-1.6612658984981j</v>
      </c>
      <c r="AX110" s="159">
        <f t="shared" si="34"/>
        <v>5.584404145669593</v>
      </c>
      <c r="AY110" s="159">
        <f t="shared" si="35"/>
        <v>119.14246018890653</v>
      </c>
      <c r="AZ110" s="159" t="str">
        <f t="shared" si="36"/>
        <v>12.9178975199108-23.9529043021103j</v>
      </c>
      <c r="BA110" s="159">
        <f t="shared" si="37"/>
        <v>28.695917419351275</v>
      </c>
      <c r="BB110" s="159">
        <f t="shared" si="38"/>
        <v>118.33816330691261</v>
      </c>
      <c r="BD110" s="159" t="str">
        <f t="shared" si="39"/>
        <v>5.07756607207502-20.2886231160261j</v>
      </c>
      <c r="BE110" s="159">
        <f t="shared" si="40"/>
        <v>26.408886134245549</v>
      </c>
      <c r="BF110" s="159">
        <f t="shared" si="41"/>
        <v>104.05062266552457</v>
      </c>
      <c r="BH110" s="159">
        <f t="shared" si="49"/>
        <v>-25.408886134245549</v>
      </c>
      <c r="BI110" s="169">
        <f t="shared" si="50"/>
        <v>-104.05062266552457</v>
      </c>
      <c r="BN110" s="165"/>
      <c r="BO110" s="165"/>
      <c r="BP110" s="165"/>
    </row>
    <row r="111" spans="1:68" s="159" customFormat="1">
      <c r="A111" s="159">
        <v>47</v>
      </c>
      <c r="B111" s="159">
        <f t="shared" si="42"/>
        <v>870.9635899560808</v>
      </c>
      <c r="C111" s="159" t="str">
        <f t="shared" si="0"/>
        <v>5472.42563150043j</v>
      </c>
      <c r="D111" s="159">
        <f t="shared" si="1"/>
        <v>0.99998786275879958</v>
      </c>
      <c r="E111" s="159" t="str">
        <f t="shared" si="2"/>
        <v>-0.00547242563150043j</v>
      </c>
      <c r="F111" s="159" t="str">
        <f t="shared" si="3"/>
        <v>0.9999878627588-0.00547242563150043j</v>
      </c>
      <c r="G111" s="159">
        <f t="shared" si="4"/>
        <v>2.4637921656620006E-5</v>
      </c>
      <c r="H111" s="159">
        <f t="shared" si="5"/>
        <v>-0.31354756799108985</v>
      </c>
      <c r="J111" s="159">
        <f t="shared" si="6"/>
        <v>6.3936063936063938</v>
      </c>
      <c r="K111" s="159" t="str">
        <f t="shared" si="7"/>
        <v>1+1.34093581461471j</v>
      </c>
      <c r="L111" s="159">
        <f t="shared" si="8"/>
        <v>0.98240598236460874</v>
      </c>
      <c r="M111" s="159" t="str">
        <f t="shared" si="9"/>
        <v>0.0146527886480528j</v>
      </c>
      <c r="N111" s="159" t="str">
        <f t="shared" si="10"/>
        <v>0.982405982364609+0.0146527886480528j</v>
      </c>
      <c r="O111" s="159" t="str">
        <f t="shared" si="11"/>
        <v>1.03803670922723+1.34946825029966j</v>
      </c>
      <c r="P111" s="159" t="str">
        <f t="shared" si="12"/>
        <v>6.63679814091336+8.62796883308474j</v>
      </c>
      <c r="R111" s="159">
        <f t="shared" si="13"/>
        <v>31.968031968031973</v>
      </c>
      <c r="S111" s="159" t="str">
        <f t="shared" si="14"/>
        <v>1+0.000191534897102515j</v>
      </c>
      <c r="T111" s="159" t="str">
        <f t="shared" si="15"/>
        <v>0.982405982364609+0.0146527886480528j</v>
      </c>
      <c r="U111" s="159" t="str">
        <f t="shared" si="16"/>
        <v>1.01768562098739-0.014984026646455j</v>
      </c>
      <c r="V111" s="159" t="str">
        <f t="shared" si="17"/>
        <v>32.5334064651313-0.479009842843716j</v>
      </c>
      <c r="X111" s="159" t="str">
        <f t="shared" si="18"/>
        <v>0.261999595709857+0.336774931023509j</v>
      </c>
      <c r="Y111" s="159">
        <f t="shared" si="19"/>
        <v>-7.3978273667428063</v>
      </c>
      <c r="Z111" s="159">
        <f t="shared" si="20"/>
        <v>-127.88171837916406</v>
      </c>
      <c r="AB111" s="159" t="str">
        <f t="shared" si="21"/>
        <v>14.3287410108484-0.210971082512097j</v>
      </c>
      <c r="AC111" s="159">
        <f t="shared" si="22"/>
        <v>23.125102043709941</v>
      </c>
      <c r="AD111" s="159">
        <f t="shared" si="23"/>
        <v>179.15645908810814</v>
      </c>
      <c r="AF111" s="159" t="str">
        <f t="shared" si="24"/>
        <v>10.5575490120561-2.98454051461562j</v>
      </c>
      <c r="AG111" s="159">
        <f t="shared" si="25"/>
        <v>20.805158187199993</v>
      </c>
      <c r="AH111" s="159">
        <f t="shared" si="26"/>
        <v>164.21479731685704</v>
      </c>
      <c r="AJ111" s="159" t="str">
        <f t="shared" si="27"/>
        <v>157322.237486883-5288.28859885733j</v>
      </c>
      <c r="AK111" s="159" t="str">
        <f t="shared" si="28"/>
        <v>30000-4.92518306835039E-06j</v>
      </c>
      <c r="AL111" s="159" t="str">
        <f t="shared" si="43"/>
        <v>10000-4060762.76200201j</v>
      </c>
      <c r="AM111" s="159" t="str">
        <f t="shared" si="44"/>
        <v>963.136342067688-1260238.354974j</v>
      </c>
      <c r="AN111" s="159" t="str">
        <f t="shared" si="45"/>
        <v>10963.1363420677-1260238.354974j</v>
      </c>
      <c r="AO111" s="159" t="str">
        <f t="shared" si="46"/>
        <v>29976.8115496392-713.396899087589j</v>
      </c>
      <c r="AP111" s="159" t="str">
        <f t="shared" si="47"/>
        <v>0.16002429723002+0.00451764122507824j</v>
      </c>
      <c r="AQ111" s="159" t="str">
        <f t="shared" si="29"/>
        <v>1+0.546695320586893j</v>
      </c>
      <c r="AR111" s="159">
        <f t="shared" si="51"/>
        <v>5.5123757724984099E-8</v>
      </c>
      <c r="AS111" s="159" t="str">
        <f t="shared" si="31"/>
        <v>0.0000149123051215824j</v>
      </c>
      <c r="AT111" s="159" t="str">
        <f t="shared" si="32"/>
        <v>5.51237577249841E-08+0.0000149123051215824j</v>
      </c>
      <c r="AU111" s="159" t="str">
        <f t="shared" si="33"/>
        <v>5.53620976528539-10.0383423014549j</v>
      </c>
      <c r="AW111" s="159" t="str">
        <f t="shared" si="48"/>
        <v>0.925248302898289-1.58488920230999j</v>
      </c>
      <c r="AX111" s="159">
        <f t="shared" si="34"/>
        <v>5.2736669352137122</v>
      </c>
      <c r="AY111" s="159">
        <f t="shared" si="35"/>
        <v>120.27611274763993</v>
      </c>
      <c r="AZ111" s="159" t="str">
        <f t="shared" si="36"/>
        <v>12.9232775122835-22.9046675468449j</v>
      </c>
      <c r="BA111" s="159">
        <f t="shared" si="37"/>
        <v>28.398768978923655</v>
      </c>
      <c r="BB111" s="159">
        <f t="shared" si="38"/>
        <v>119.43257183574801</v>
      </c>
      <c r="BD111" s="159" t="str">
        <f t="shared" si="39"/>
        <v>5.03818827069941-19.4939864781455j</v>
      </c>
      <c r="BE111" s="159">
        <f t="shared" si="40"/>
        <v>26.078825122413708</v>
      </c>
      <c r="BF111" s="159">
        <f t="shared" si="41"/>
        <v>104.49091006449696</v>
      </c>
      <c r="BH111" s="159">
        <f t="shared" si="49"/>
        <v>-25.078825122413708</v>
      </c>
      <c r="BI111" s="169">
        <f t="shared" si="50"/>
        <v>-104.49091006449696</v>
      </c>
      <c r="BN111" s="165"/>
      <c r="BO111" s="165"/>
      <c r="BP111" s="165"/>
    </row>
    <row r="112" spans="1:68" s="159" customFormat="1">
      <c r="A112" s="159">
        <v>48</v>
      </c>
      <c r="B112" s="159">
        <f t="shared" si="42"/>
        <v>912.01083935590987</v>
      </c>
      <c r="C112" s="159" t="str">
        <f t="shared" si="0"/>
        <v>5730.33310582957j</v>
      </c>
      <c r="D112" s="159">
        <f t="shared" si="1"/>
        <v>0.99998669177966237</v>
      </c>
      <c r="E112" s="159" t="str">
        <f t="shared" si="2"/>
        <v>-0.00573033310582957j</v>
      </c>
      <c r="F112" s="159" t="str">
        <f t="shared" si="3"/>
        <v>0.999986691779662-0.00573033310582957j</v>
      </c>
      <c r="G112" s="159">
        <f t="shared" si="4"/>
        <v>2.7015004171873531E-5</v>
      </c>
      <c r="H112" s="159">
        <f t="shared" si="5"/>
        <v>-0.32832467786735958</v>
      </c>
      <c r="J112" s="159">
        <f t="shared" si="6"/>
        <v>6.3936063936063938</v>
      </c>
      <c r="K112" s="159" t="str">
        <f t="shared" si="7"/>
        <v>1+1.40413217258695j</v>
      </c>
      <c r="L112" s="159">
        <f t="shared" si="8"/>
        <v>0.98070854328023482</v>
      </c>
      <c r="M112" s="159" t="str">
        <f t="shared" si="9"/>
        <v>0.0153433533019322j</v>
      </c>
      <c r="N112" s="159" t="str">
        <f t="shared" si="10"/>
        <v>0.980708543280235+0.0153433533019322j</v>
      </c>
      <c r="O112" s="159" t="str">
        <f t="shared" si="11"/>
        <v>1.04181594857413+1.41545338003212j</v>
      </c>
      <c r="P112" s="159" t="str">
        <f t="shared" si="12"/>
        <v>6.66096110976467+9.04985178042514j</v>
      </c>
      <c r="R112" s="159">
        <f t="shared" si="13"/>
        <v>31.968031968031973</v>
      </c>
      <c r="S112" s="159" t="str">
        <f t="shared" si="14"/>
        <v>1+0.000200561658704035j</v>
      </c>
      <c r="T112" s="159" t="str">
        <f t="shared" si="15"/>
        <v>0.980708543280235+0.0153433533019322j</v>
      </c>
      <c r="U112" s="159" t="str">
        <f t="shared" si="16"/>
        <v>1.01942461133091-0.0157445659298379j</v>
      </c>
      <c r="V112" s="159" t="str">
        <f t="shared" si="17"/>
        <v>32.5889985640251-0.503322786967845j</v>
      </c>
      <c r="X112" s="159" t="str">
        <f t="shared" si="18"/>
        <v>0.263128416879244+0.353238934911488j</v>
      </c>
      <c r="Y112" s="159">
        <f t="shared" si="19"/>
        <v>-7.1216623888372403</v>
      </c>
      <c r="Z112" s="159">
        <f t="shared" si="20"/>
        <v>-126.68250255488383</v>
      </c>
      <c r="AB112" s="159" t="str">
        <f t="shared" si="21"/>
        <v>14.3532255291897-0.221679271952365j</v>
      </c>
      <c r="AC112" s="159">
        <f t="shared" si="22"/>
        <v>23.140025996185642</v>
      </c>
      <c r="AD112" s="159">
        <f t="shared" si="23"/>
        <v>179.11516216972703</v>
      </c>
      <c r="AF112" s="159" t="str">
        <f t="shared" si="24"/>
        <v>10.4934977063626-3.11004896473611j</v>
      </c>
      <c r="AG112" s="159">
        <f t="shared" si="25"/>
        <v>20.784056954536119</v>
      </c>
      <c r="AH112" s="159">
        <f t="shared" si="26"/>
        <v>163.49129960046537</v>
      </c>
      <c r="AJ112" s="159" t="str">
        <f t="shared" si="27"/>
        <v>157305.10850205-5536.91504640503j</v>
      </c>
      <c r="AK112" s="159" t="str">
        <f t="shared" si="28"/>
        <v>30000-5.15729979524661E-06j</v>
      </c>
      <c r="AL112" s="159" t="str">
        <f t="shared" si="43"/>
        <v>10000-3877998.33130383j</v>
      </c>
      <c r="AM112" s="159" t="str">
        <f t="shared" si="44"/>
        <v>963.136074049468-1203518.43632928j</v>
      </c>
      <c r="AN112" s="159" t="str">
        <f t="shared" si="45"/>
        <v>10963.1360740495-1203518.43632928j</v>
      </c>
      <c r="AO112" s="159" t="str">
        <f t="shared" si="46"/>
        <v>29974.5769649871-746.942108923747j</v>
      </c>
      <c r="AP112" s="159" t="str">
        <f t="shared" si="47"/>
        <v>0.160026641308597+0.00473053789531608j</v>
      </c>
      <c r="AQ112" s="159" t="str">
        <f t="shared" si="29"/>
        <v>1+0.572460277272374j</v>
      </c>
      <c r="AR112" s="159">
        <f t="shared" si="51"/>
        <v>5.0794178820606044E-8</v>
      </c>
      <c r="AS112" s="159" t="str">
        <f t="shared" si="31"/>
        <v>0.0000156151004100545j</v>
      </c>
      <c r="AT112" s="159" t="str">
        <f t="shared" si="32"/>
        <v>5.0794178820606E-08+0.0000156151004100545j</v>
      </c>
      <c r="AU112" s="159" t="str">
        <f t="shared" si="33"/>
        <v>5.53029175756865-9.58809674224908j</v>
      </c>
      <c r="AW112" s="159" t="str">
        <f t="shared" si="48"/>
        <v>0.924328228005741-1.51187308272057j</v>
      </c>
      <c r="AX112" s="159">
        <f t="shared" si="34"/>
        <v>4.9694941097446161</v>
      </c>
      <c r="AY112" s="159">
        <f t="shared" si="35"/>
        <v>121.44076103080096</v>
      </c>
      <c r="AZ112" s="159" t="str">
        <f t="shared" si="36"/>
        <v>12.9319405953008-21.9051597364289j</v>
      </c>
      <c r="BA112" s="159">
        <f t="shared" si="37"/>
        <v>28.10952010593024</v>
      </c>
      <c r="BB112" s="159">
        <f t="shared" si="38"/>
        <v>120.55592320052801</v>
      </c>
      <c r="BD112" s="159" t="str">
        <f t="shared" si="39"/>
        <v>4.99743682477697-18.7395427744252j</v>
      </c>
      <c r="BE112" s="159">
        <f t="shared" si="40"/>
        <v>25.753551064280703</v>
      </c>
      <c r="BF112" s="159">
        <f t="shared" si="41"/>
        <v>104.93206063126641</v>
      </c>
      <c r="BH112" s="159">
        <f t="shared" si="49"/>
        <v>-24.753551064280703</v>
      </c>
      <c r="BI112" s="169">
        <f t="shared" si="50"/>
        <v>-104.93206063126641</v>
      </c>
      <c r="BN112" s="165"/>
      <c r="BO112" s="165"/>
      <c r="BP112" s="165"/>
    </row>
    <row r="113" spans="1:68" s="159" customFormat="1">
      <c r="A113" s="159">
        <v>49</v>
      </c>
      <c r="B113" s="159">
        <f t="shared" si="42"/>
        <v>954.99258602143584</v>
      </c>
      <c r="C113" s="159" t="str">
        <f t="shared" si="0"/>
        <v>6000.39538495532j</v>
      </c>
      <c r="D113" s="159">
        <f t="shared" si="1"/>
        <v>0.99998540782657031</v>
      </c>
      <c r="E113" s="159" t="str">
        <f t="shared" si="2"/>
        <v>-0.00600039538495532j</v>
      </c>
      <c r="F113" s="159" t="str">
        <f t="shared" si="3"/>
        <v>0.99998540782657-0.00600039538495532j</v>
      </c>
      <c r="G113" s="159">
        <f t="shared" si="4"/>
        <v>2.9621435525019521E-5</v>
      </c>
      <c r="H113" s="159">
        <f t="shared" si="5"/>
        <v>-0.34379822158799056</v>
      </c>
      <c r="J113" s="159">
        <f t="shared" si="6"/>
        <v>6.3936063936063938</v>
      </c>
      <c r="K113" s="159" t="str">
        <f t="shared" si="7"/>
        <v>1+1.47030688315253j</v>
      </c>
      <c r="L113" s="159">
        <f t="shared" si="8"/>
        <v>0.97884733833493753</v>
      </c>
      <c r="M113" s="159" t="str">
        <f t="shared" si="9"/>
        <v>0.0160664632652843j</v>
      </c>
      <c r="N113" s="159" t="str">
        <f t="shared" si="10"/>
        <v>0.978847338334938+0.0160664632652843j</v>
      </c>
      <c r="O113" s="159" t="str">
        <f t="shared" si="11"/>
        <v>1.04598259148628+1.48491147224526j</v>
      </c>
      <c r="P113" s="159" t="str">
        <f t="shared" si="12"/>
        <v>6.68760098452766+9.49393948288678j</v>
      </c>
      <c r="R113" s="159">
        <f t="shared" si="13"/>
        <v>31.968031968031973</v>
      </c>
      <c r="S113" s="159" t="str">
        <f t="shared" si="14"/>
        <v>1+0.000210013838473436j</v>
      </c>
      <c r="T113" s="159" t="str">
        <f t="shared" si="15"/>
        <v>0.978847338334938+0.0160664632652843j</v>
      </c>
      <c r="U113" s="159" t="str">
        <f t="shared" si="16"/>
        <v>1.021338130553-0.016549340313931j</v>
      </c>
      <c r="V113" s="159" t="str">
        <f t="shared" si="17"/>
        <v>32.6501700076883-0.529049840205586j</v>
      </c>
      <c r="X113" s="159" t="str">
        <f t="shared" si="18"/>
        <v>0.264372561189679+0.370568980360109j</v>
      </c>
      <c r="Y113" s="159">
        <f t="shared" si="19"/>
        <v>-6.8358044394382942</v>
      </c>
      <c r="Z113" s="159">
        <f t="shared" si="20"/>
        <v>-125.50494689913978</v>
      </c>
      <c r="AB113" s="159" t="str">
        <f t="shared" si="21"/>
        <v>14.3801673674029-0.233010279764627j</v>
      </c>
      <c r="AC113" s="159">
        <f t="shared" si="22"/>
        <v>23.156418931992956</v>
      </c>
      <c r="AD113" s="159">
        <f t="shared" si="23"/>
        <v>179.07168414405118</v>
      </c>
      <c r="AF113" s="159" t="str">
        <f t="shared" si="24"/>
        <v>10.4239438204737-3.23939370275069j</v>
      </c>
      <c r="AG113" s="159">
        <f t="shared" si="25"/>
        <v>20.761023437011108</v>
      </c>
      <c r="AH113" s="159">
        <f t="shared" si="26"/>
        <v>162.73660011098607</v>
      </c>
      <c r="AJ113" s="159" t="str">
        <f t="shared" si="27"/>
        <v>157286.331230246-5797.16973126748j</v>
      </c>
      <c r="AK113" s="159" t="str">
        <f t="shared" si="28"/>
        <v>30000-0.0000054003558464598j</v>
      </c>
      <c r="AL113" s="159" t="str">
        <f t="shared" si="43"/>
        <v>10000-3703459.65499867j</v>
      </c>
      <c r="AM113" s="159" t="str">
        <f t="shared" si="44"/>
        <v>963.135780173489-1149351.34164646j</v>
      </c>
      <c r="AN113" s="159" t="str">
        <f t="shared" si="45"/>
        <v>10963.1357801735-1149351.34164646j</v>
      </c>
      <c r="AO113" s="159" t="str">
        <f t="shared" si="46"/>
        <v>29972.1273158899-782.056992573999j</v>
      </c>
      <c r="AP113" s="159" t="str">
        <f t="shared" si="47"/>
        <v>0.160029211524609+0.00495346612077316j</v>
      </c>
      <c r="AQ113" s="159" t="str">
        <f t="shared" si="29"/>
        <v>1+0.599439498957037j</v>
      </c>
      <c r="AR113" s="159">
        <f t="shared" si="51"/>
        <v>4.6046889953474029E-8</v>
      </c>
      <c r="AS113" s="159" t="str">
        <f t="shared" si="31"/>
        <v>0.0000163510174200494j</v>
      </c>
      <c r="AT113" s="159" t="str">
        <f t="shared" si="32"/>
        <v>4.6046889953474E-08+0.0000163510174200494j</v>
      </c>
      <c r="AU113" s="159" t="str">
        <f t="shared" si="33"/>
        <v>5.52489354811147-9.15818214780747j</v>
      </c>
      <c r="AW113" s="159" t="str">
        <f t="shared" si="48"/>
        <v>0.923493878114247-1.44206282667921j</v>
      </c>
      <c r="AX113" s="159">
        <f t="shared" si="34"/>
        <v>4.6722115798720782</v>
      </c>
      <c r="AY113" s="159">
        <f t="shared" si="35"/>
        <v>122.63540992554073</v>
      </c>
      <c r="AZ113" s="159" t="str">
        <f t="shared" si="36"/>
        <v>12.9439810673722-20.9522883688575j</v>
      </c>
      <c r="BA113" s="159">
        <f t="shared" si="37"/>
        <v>27.828630511865047</v>
      </c>
      <c r="BB113" s="159">
        <f t="shared" si="38"/>
        <v>121.70709406959197</v>
      </c>
      <c r="BD113" s="159" t="str">
        <f t="shared" si="39"/>
        <v>4.9550390642988-18.0235421441897j</v>
      </c>
      <c r="BE113" s="159">
        <f t="shared" si="40"/>
        <v>25.433235016883184</v>
      </c>
      <c r="BF113" s="159">
        <f t="shared" si="41"/>
        <v>105.37201003652679</v>
      </c>
      <c r="BH113" s="159">
        <f t="shared" si="49"/>
        <v>-24.433235016883184</v>
      </c>
      <c r="BI113" s="169">
        <f t="shared" si="50"/>
        <v>-105.37201003652679</v>
      </c>
      <c r="BN113" s="165"/>
      <c r="BO113" s="165"/>
      <c r="BP113" s="165"/>
    </row>
    <row r="114" spans="1:68" s="159" customFormat="1">
      <c r="A114" s="159">
        <v>50</v>
      </c>
      <c r="B114" s="159">
        <f t="shared" si="42"/>
        <v>1000</v>
      </c>
      <c r="C114" s="159" t="str">
        <f t="shared" si="0"/>
        <v>6283.18530717959j</v>
      </c>
      <c r="D114" s="159">
        <f t="shared" si="1"/>
        <v>0.99998399999999998</v>
      </c>
      <c r="E114" s="159" t="str">
        <f t="shared" si="2"/>
        <v>-0.00628318530717959j</v>
      </c>
      <c r="F114" s="159" t="str">
        <f t="shared" si="3"/>
        <v>0.999984-0.00628318530717959j</v>
      </c>
      <c r="G114" s="159">
        <f t="shared" si="4"/>
        <v>3.247934533237937E-5</v>
      </c>
      <c r="H114" s="159">
        <f t="shared" si="5"/>
        <v>-0.36000102256686728</v>
      </c>
      <c r="J114" s="159">
        <f t="shared" si="6"/>
        <v>6.3936063936063938</v>
      </c>
      <c r="K114" s="159" t="str">
        <f t="shared" si="7"/>
        <v>1+1.53960031174475j</v>
      </c>
      <c r="L114" s="159">
        <f t="shared" si="8"/>
        <v>0.9768065676938652</v>
      </c>
      <c r="M114" s="159" t="str">
        <f t="shared" si="9"/>
        <v>0.0168236523512903j</v>
      </c>
      <c r="N114" s="159" t="str">
        <f t="shared" si="10"/>
        <v>0.976806567693865+0.0168236523512903j</v>
      </c>
      <c r="O114" s="159" t="str">
        <f t="shared" si="11"/>
        <v>1.05057883182131+1.55806255715875j</v>
      </c>
      <c r="P114" s="159" t="str">
        <f t="shared" si="12"/>
        <v>6.71698753612026+9.96163872708891j</v>
      </c>
      <c r="R114" s="159">
        <f t="shared" si="13"/>
        <v>31.968031968031973</v>
      </c>
      <c r="S114" s="159" t="str">
        <f t="shared" si="14"/>
        <v>1+0.000219911485751286j</v>
      </c>
      <c r="T114" s="159" t="str">
        <f t="shared" si="15"/>
        <v>0.976806567693865+0.0168236523512903j</v>
      </c>
      <c r="U114" s="159" t="str">
        <f t="shared" si="16"/>
        <v>1.02344442775045-0.0174017685074727j</v>
      </c>
      <c r="V114" s="159" t="str">
        <f t="shared" si="17"/>
        <v>32.7175041838306-0.556300291947179j</v>
      </c>
      <c r="X114" s="159" t="str">
        <f t="shared" si="18"/>
        <v>0.265744509530966+0.388819862783162j</v>
      </c>
      <c r="Y114" s="159">
        <f t="shared" si="19"/>
        <v>-6.540364413252842</v>
      </c>
      <c r="Z114" s="159">
        <f t="shared" si="20"/>
        <v>-124.35121379689312</v>
      </c>
      <c r="AB114" s="159" t="str">
        <f t="shared" si="21"/>
        <v>14.409823467884-0.245012240452402j</v>
      </c>
      <c r="AC114" s="159">
        <f t="shared" si="22"/>
        <v>23.174428600914624</v>
      </c>
      <c r="AD114" s="159">
        <f t="shared" si="23"/>
        <v>179.02588572789503</v>
      </c>
      <c r="AF114" s="159" t="str">
        <f t="shared" si="24"/>
        <v>10.3484813145203-3.37248733297695j</v>
      </c>
      <c r="AG114" s="159">
        <f t="shared" si="25"/>
        <v>20.735890921410153</v>
      </c>
      <c r="AH114" s="159">
        <f t="shared" si="26"/>
        <v>161.94962492982475</v>
      </c>
      <c r="AJ114" s="159" t="str">
        <f t="shared" si="27"/>
        <v>157265.74751289-6069.58750593224j</v>
      </c>
      <c r="AK114" s="159" t="str">
        <f t="shared" si="28"/>
        <v>30000-5.65486677646164E-06j</v>
      </c>
      <c r="AL114" s="159" t="str">
        <f t="shared" si="43"/>
        <v>10000-3536776.51315322j</v>
      </c>
      <c r="AM114" s="159" t="str">
        <f t="shared" si="44"/>
        <v>963.135457945106-1097622.17525538j</v>
      </c>
      <c r="AN114" s="159" t="str">
        <f t="shared" si="45"/>
        <v>10963.1354579451-1097622.17525538j</v>
      </c>
      <c r="AO114" s="159" t="str">
        <f t="shared" si="46"/>
        <v>29969.4419591427-818.81386263557j</v>
      </c>
      <c r="AP114" s="159" t="str">
        <f t="shared" si="47"/>
        <v>0.160032029692347+0.00518689838435555j</v>
      </c>
      <c r="AQ114" s="159" t="str">
        <f t="shared" si="29"/>
        <v>1+0.627690212187241j</v>
      </c>
      <c r="AR114" s="159">
        <f t="shared" si="51"/>
        <v>4.0841591219870279E-8</v>
      </c>
      <c r="AS114" s="159" t="str">
        <f t="shared" si="31"/>
        <v>0.0000171216171302113j</v>
      </c>
      <c r="AT114" s="159" t="str">
        <f t="shared" si="32"/>
        <v>4.08415912198703E-08+0.0000171216171302113j</v>
      </c>
      <c r="AU114" s="159" t="str">
        <f t="shared" si="33"/>
        <v>5.5199693221249-8.74768747194565j</v>
      </c>
      <c r="AW114" s="159" t="str">
        <f t="shared" si="48"/>
        <v>0.92273817202367-1.37531050166904j</v>
      </c>
      <c r="AX114" s="159">
        <f t="shared" si="34"/>
        <v>4.3821388692198893</v>
      </c>
      <c r="AY114" s="159">
        <f t="shared" si="35"/>
        <v>123.85887714928973</v>
      </c>
      <c r="AZ114" s="159" t="str">
        <f t="shared" si="36"/>
        <v>12.9595262586074-20.0440636894563j</v>
      </c>
      <c r="BA114" s="159">
        <f t="shared" si="37"/>
        <v>27.556567470134503</v>
      </c>
      <c r="BB114" s="159">
        <f t="shared" si="38"/>
        <v>122.88476287718476</v>
      </c>
      <c r="BD114" s="159" t="str">
        <f t="shared" si="39"/>
        <v>4.91072148559259-17.3442978249898j</v>
      </c>
      <c r="BE114" s="159">
        <f t="shared" si="40"/>
        <v>25.118029790630079</v>
      </c>
      <c r="BF114" s="159">
        <f t="shared" si="41"/>
        <v>105.80850207911453</v>
      </c>
      <c r="BH114" s="159">
        <f t="shared" si="49"/>
        <v>-24.118029790630079</v>
      </c>
      <c r="BI114" s="169">
        <f t="shared" si="50"/>
        <v>-105.80850207911453</v>
      </c>
      <c r="BN114" s="165"/>
      <c r="BO114" s="165"/>
      <c r="BP114" s="165"/>
    </row>
    <row r="115" spans="1:68" s="159" customFormat="1">
      <c r="A115" s="159">
        <v>51</v>
      </c>
      <c r="B115" s="159">
        <f t="shared" si="42"/>
        <v>1047.1285480509</v>
      </c>
      <c r="C115" s="159" t="str">
        <f t="shared" si="0"/>
        <v>6579.30270784171j</v>
      </c>
      <c r="D115" s="159">
        <f t="shared" si="1"/>
        <v>0.99998245634886174</v>
      </c>
      <c r="E115" s="159" t="str">
        <f t="shared" si="2"/>
        <v>-0.00657930270784171j</v>
      </c>
      <c r="F115" s="159" t="str">
        <f t="shared" si="3"/>
        <v>0.999982456348862-0.00657930270784171j</v>
      </c>
      <c r="G115" s="159">
        <f t="shared" si="4"/>
        <v>3.5612998747525692E-5</v>
      </c>
      <c r="H115" s="159">
        <f t="shared" si="5"/>
        <v>-0.37696745135962567</v>
      </c>
      <c r="J115" s="159">
        <f t="shared" si="6"/>
        <v>6.3936063936063938</v>
      </c>
      <c r="K115" s="159" t="str">
        <f t="shared" si="7"/>
        <v>1+1.61215943901599j</v>
      </c>
      <c r="L115" s="159">
        <f t="shared" si="8"/>
        <v>0.97456890718260014</v>
      </c>
      <c r="M115" s="159" t="str">
        <f t="shared" si="9"/>
        <v>0.0176165266595197j</v>
      </c>
      <c r="N115" s="159" t="str">
        <f t="shared" si="10"/>
        <v>0.9745689071826+0.0176165266595197j</v>
      </c>
      <c r="O115" s="159" t="str">
        <f t="shared" si="11"/>
        <v>1.05565197775045+1.63514606926424j</v>
      </c>
      <c r="P115" s="159" t="str">
        <f t="shared" si="12"/>
        <v>6.74942323436851+10.4544803629282j</v>
      </c>
      <c r="R115" s="159">
        <f t="shared" si="13"/>
        <v>31.968031968031973</v>
      </c>
      <c r="S115" s="159" t="str">
        <f t="shared" si="14"/>
        <v>1+0.00023027559477446j</v>
      </c>
      <c r="T115" s="159" t="str">
        <f t="shared" si="15"/>
        <v>0.9745689071826+0.0176165266595197j</v>
      </c>
      <c r="U115" s="159" t="str">
        <f t="shared" si="16"/>
        <v>1.02576381271077-0.0183056527114021j</v>
      </c>
      <c r="V115" s="159" t="str">
        <f t="shared" si="17"/>
        <v>32.7916503563883-0.585195691073793j</v>
      </c>
      <c r="X115" s="159" t="str">
        <f t="shared" si="18"/>
        <v>0.267258239773816+0.408051200378885j</v>
      </c>
      <c r="Y115" s="159">
        <f t="shared" si="19"/>
        <v>-6.2354577793194963</v>
      </c>
      <c r="Z115" s="159">
        <f t="shared" si="20"/>
        <v>-123.22329577362773</v>
      </c>
      <c r="AB115" s="159" t="str">
        <f t="shared" si="21"/>
        <v>14.4424797870021-0.257738687986696j</v>
      </c>
      <c r="AC115" s="159">
        <f t="shared" si="22"/>
        <v>23.194218268173422</v>
      </c>
      <c r="AD115" s="159">
        <f t="shared" si="23"/>
        <v>178.97761521021366</v>
      </c>
      <c r="AF115" s="159" t="str">
        <f t="shared" si="24"/>
        <v>10.2666867068461-3.50920781814991j</v>
      </c>
      <c r="AG115" s="159">
        <f t="shared" si="25"/>
        <v>20.708480230972029</v>
      </c>
      <c r="AH115" s="159">
        <f t="shared" si="26"/>
        <v>161.12930051826493</v>
      </c>
      <c r="AJ115" s="159" t="str">
        <f t="shared" si="27"/>
        <v>157243.184106953-6354.72648915248j</v>
      </c>
      <c r="AK115" s="159" t="str">
        <f t="shared" si="28"/>
        <v>30000-5.92137243705753E-06j</v>
      </c>
      <c r="AL115" s="159" t="str">
        <f t="shared" si="43"/>
        <v>10000-3377595.34847608j</v>
      </c>
      <c r="AM115" s="159" t="str">
        <f t="shared" si="44"/>
        <v>963.135104628944-1048221.21265867j</v>
      </c>
      <c r="AN115" s="159" t="str">
        <f t="shared" si="45"/>
        <v>10963.1351046289-1048221.21265867j</v>
      </c>
      <c r="AO115" s="159" t="str">
        <f t="shared" si="46"/>
        <v>29966.498281259-857.28819443709j</v>
      </c>
      <c r="AP115" s="159" t="str">
        <f t="shared" si="47"/>
        <v>0.160035119730091+0.00543132939348467j</v>
      </c>
      <c r="AQ115" s="159" t="str">
        <f t="shared" si="29"/>
        <v>1+0.657272340513387j</v>
      </c>
      <c r="AR115" s="159">
        <f t="shared" si="51"/>
        <v>3.5134094654062165E-8</v>
      </c>
      <c r="AS115" s="159" t="str">
        <f t="shared" si="31"/>
        <v>0.0000179285340858416j</v>
      </c>
      <c r="AT115" s="159" t="str">
        <f t="shared" si="32"/>
        <v>3.51340946540622E-08+0.0000179285340858416j</v>
      </c>
      <c r="AU115" s="159" t="str">
        <f t="shared" si="33"/>
        <v>5.51547728666607-8.3557427496123j</v>
      </c>
      <c r="AW115" s="159" t="str">
        <f t="shared" si="48"/>
        <v>0.922054695832589-1.3114746446815j</v>
      </c>
      <c r="AX115" s="159">
        <f t="shared" si="34"/>
        <v>4.0995857287584698</v>
      </c>
      <c r="AY115" s="159">
        <f t="shared" si="35"/>
        <v>125.10979180098029</v>
      </c>
      <c r="AZ115" s="159" t="str">
        <f t="shared" si="36"/>
        <v>12.9787385528245-19.1785952145342j</v>
      </c>
      <c r="BA115" s="159">
        <f t="shared" si="37"/>
        <v>27.293803996931899</v>
      </c>
      <c r="BB115" s="159">
        <f t="shared" si="38"/>
        <v>124.08740701119392</v>
      </c>
      <c r="BD115" s="159" t="str">
        <f t="shared" si="39"/>
        <v>4.86420961226775-16.7001808482948j</v>
      </c>
      <c r="BE115" s="159">
        <f t="shared" si="40"/>
        <v>24.808065959730484</v>
      </c>
      <c r="BF115" s="159">
        <f t="shared" si="41"/>
        <v>106.23909231924517</v>
      </c>
      <c r="BH115" s="159">
        <f t="shared" si="49"/>
        <v>-23.808065959730484</v>
      </c>
      <c r="BI115" s="169">
        <f t="shared" si="50"/>
        <v>-106.23909231924517</v>
      </c>
      <c r="BN115" s="165"/>
      <c r="BO115" s="165"/>
      <c r="BP115" s="165"/>
    </row>
    <row r="116" spans="1:68" s="159" customFormat="1">
      <c r="A116" s="159">
        <v>52</v>
      </c>
      <c r="B116" s="159">
        <f t="shared" si="42"/>
        <v>1096.4781961431854</v>
      </c>
      <c r="C116" s="159" t="str">
        <f t="shared" si="0"/>
        <v>6889.37569164964j</v>
      </c>
      <c r="D116" s="159">
        <f t="shared" si="1"/>
        <v>0.9999807637690461</v>
      </c>
      <c r="E116" s="159" t="str">
        <f t="shared" si="2"/>
        <v>-0.00688937569164964j</v>
      </c>
      <c r="F116" s="159" t="str">
        <f t="shared" si="3"/>
        <v>0.999980763769046-0.00688937569164964j</v>
      </c>
      <c r="G116" s="159">
        <f t="shared" si="4"/>
        <v>3.9049002576372795E-5</v>
      </c>
      <c r="H116" s="159">
        <f t="shared" si="5"/>
        <v>-0.39473349861107188</v>
      </c>
      <c r="J116" s="159">
        <f t="shared" si="6"/>
        <v>6.3936063936063938</v>
      </c>
      <c r="K116" s="159" t="str">
        <f t="shared" si="7"/>
        <v>1+1.68813817260337j</v>
      </c>
      <c r="L116" s="159">
        <f t="shared" si="8"/>
        <v>0.97211536122162756</v>
      </c>
      <c r="M116" s="159" t="str">
        <f t="shared" si="9"/>
        <v>0.0184467679826828j</v>
      </c>
      <c r="N116" s="159" t="str">
        <f t="shared" si="10"/>
        <v>0.972115361221628+0.0184467679826828j</v>
      </c>
      <c r="O116" s="159" t="str">
        <f t="shared" si="11"/>
        <v>1.06125517948375+1.7164232879112j</v>
      </c>
      <c r="P116" s="159" t="str">
        <f t="shared" si="12"/>
        <v>6.7852479007952+10.974134907724j</v>
      </c>
      <c r="R116" s="159">
        <f t="shared" si="13"/>
        <v>31.968031968031973</v>
      </c>
      <c r="S116" s="159" t="str">
        <f t="shared" si="14"/>
        <v>1+0.000241128149207737j</v>
      </c>
      <c r="T116" s="159" t="str">
        <f t="shared" si="15"/>
        <v>0.972115361221628+0.0184467679826828j</v>
      </c>
      <c r="U116" s="159" t="str">
        <f t="shared" si="16"/>
        <v>1.0283189202926-0.0192652365477465j</v>
      </c>
      <c r="V116" s="159" t="str">
        <f t="shared" si="17"/>
        <v>32.873332117246-0.615871697830058j</v>
      </c>
      <c r="X116" s="159" t="str">
        <f t="shared" si="18"/>
        <v>0.268929436760978+0.42832803961484j</v>
      </c>
      <c r="Y116" s="159">
        <f t="shared" si="19"/>
        <v>-5.9211991619179107</v>
      </c>
      <c r="Z116" s="159">
        <f t="shared" si="20"/>
        <v>-122.12300978458573</v>
      </c>
      <c r="AB116" s="159" t="str">
        <f t="shared" si="21"/>
        <v>14.4784550175054-0.271249371429226j</v>
      </c>
      <c r="AC116" s="159">
        <f t="shared" si="22"/>
        <v>23.215968480222443</v>
      </c>
      <c r="AD116" s="159">
        <f t="shared" si="23"/>
        <v>178.92670687221261</v>
      </c>
      <c r="AF116" s="159" t="str">
        <f t="shared" si="24"/>
        <v>10.1781208009181-3.64939433737936j</v>
      </c>
      <c r="AG116" s="159">
        <f t="shared" si="25"/>
        <v>20.678599149183366</v>
      </c>
      <c r="AH116" s="159">
        <f t="shared" si="26"/>
        <v>160.27455950206448</v>
      </c>
      <c r="AJ116" s="159" t="str">
        <f t="shared" si="27"/>
        <v>157218.451264729-6653.16887767231j</v>
      </c>
      <c r="AK116" s="159" t="str">
        <f t="shared" si="28"/>
        <v>30000-6.20043812248467E-06j</v>
      </c>
      <c r="AL116" s="159" t="str">
        <f t="shared" si="43"/>
        <v>10000-3225578.51637514j</v>
      </c>
      <c r="AM116" s="159" t="str">
        <f t="shared" si="44"/>
        <v>963.134717225786-1001043.66779133j</v>
      </c>
      <c r="AN116" s="159" t="str">
        <f t="shared" si="45"/>
        <v>10963.1347172258-1001043.66779133j</v>
      </c>
      <c r="AO116" s="159" t="str">
        <f t="shared" si="46"/>
        <v>29963.2715126759-897.558739080322j</v>
      </c>
      <c r="AP116" s="159" t="str">
        <f t="shared" si="47"/>
        <v>0.160038507862971+0.00568727712114934j</v>
      </c>
      <c r="AQ116" s="159" t="str">
        <f t="shared" si="29"/>
        <v>1+0.688248631595799j</v>
      </c>
      <c r="AR116" s="159">
        <f t="shared" si="51"/>
        <v>2.8875949115091515E-8</v>
      </c>
      <c r="AS116" s="159" t="str">
        <f t="shared" si="31"/>
        <v>0.0000187734798659884j</v>
      </c>
      <c r="AT116" s="159" t="str">
        <f t="shared" si="32"/>
        <v>2.88759491150915E-08+0.0000187734798659884j</v>
      </c>
      <c r="AU116" s="159" t="str">
        <f t="shared" si="33"/>
        <v>5.51137931616247-7.98151726589467j</v>
      </c>
      <c r="AW116" s="159" t="str">
        <f t="shared" si="48"/>
        <v>0.921437648535217-1.25041996459339j</v>
      </c>
      <c r="AX116" s="159">
        <f t="shared" si="34"/>
        <v>3.824848604966085</v>
      </c>
      <c r="AY116" s="159">
        <f t="shared" si="35"/>
        <v>126.3865959662202</v>
      </c>
      <c r="AZ116" s="159" t="str">
        <f t="shared" si="36"/>
        <v>13.0018179163346-18.3540885933325j</v>
      </c>
      <c r="BA116" s="159">
        <f t="shared" si="37"/>
        <v>27.040817085188536</v>
      </c>
      <c r="BB116" s="159">
        <f t="shared" si="38"/>
        <v>125.31330283843283</v>
      </c>
      <c r="BD116" s="159" t="str">
        <f t="shared" si="39"/>
        <v>4.81522815917215-16.0896147883238j</v>
      </c>
      <c r="BE116" s="159">
        <f t="shared" si="40"/>
        <v>24.503447754149438</v>
      </c>
      <c r="BF116" s="159">
        <f t="shared" si="41"/>
        <v>106.66115546828475</v>
      </c>
      <c r="BH116" s="159">
        <f t="shared" si="49"/>
        <v>-23.503447754149438</v>
      </c>
      <c r="BI116" s="169">
        <f t="shared" si="50"/>
        <v>-106.66115546828475</v>
      </c>
      <c r="BN116" s="165"/>
      <c r="BO116" s="165"/>
      <c r="BP116" s="165"/>
    </row>
    <row r="117" spans="1:68" s="159" customFormat="1">
      <c r="A117" s="159">
        <v>53</v>
      </c>
      <c r="B117" s="159">
        <f t="shared" si="42"/>
        <v>1148.1536214968835</v>
      </c>
      <c r="C117" s="159" t="str">
        <f t="shared" si="0"/>
        <v>7214.06196497425j</v>
      </c>
      <c r="D117" s="159">
        <f t="shared" si="1"/>
        <v>0.99997890789218313</v>
      </c>
      <c r="E117" s="159" t="str">
        <f t="shared" si="2"/>
        <v>-0.00721406196497425j</v>
      </c>
      <c r="F117" s="159" t="str">
        <f t="shared" si="3"/>
        <v>0.999978907892183-0.00721406196497425j</v>
      </c>
      <c r="G117" s="159">
        <f t="shared" si="4"/>
        <v>4.2816531336022074E-5</v>
      </c>
      <c r="H117" s="159">
        <f t="shared" si="5"/>
        <v>-0.41333685144537302</v>
      </c>
      <c r="J117" s="159">
        <f t="shared" si="6"/>
        <v>6.3936063936063938</v>
      </c>
      <c r="K117" s="159" t="str">
        <f t="shared" si="7"/>
        <v>1+1.76769767358747j</v>
      </c>
      <c r="L117" s="159">
        <f t="shared" si="8"/>
        <v>0.96942510157218587</v>
      </c>
      <c r="M117" s="159" t="str">
        <f t="shared" si="9"/>
        <v>0.0193161373739385j</v>
      </c>
      <c r="N117" s="159" t="str">
        <f t="shared" si="10"/>
        <v>0.969425101572186+0.0193161373739385j</v>
      </c>
      <c r="O117" s="159" t="str">
        <f t="shared" si="11"/>
        <v>1.06744828258451+1.80218017161731j</v>
      </c>
      <c r="P117" s="159" t="str">
        <f t="shared" si="12"/>
        <v>6.82484416437649+11.5224306676831j</v>
      </c>
      <c r="R117" s="159">
        <f t="shared" si="13"/>
        <v>31.968031968031973</v>
      </c>
      <c r="S117" s="159" t="str">
        <f t="shared" si="14"/>
        <v>1+0.000252492168774099j</v>
      </c>
      <c r="T117" s="159" t="str">
        <f t="shared" si="15"/>
        <v>0.969425101572186+0.0193161373739385j</v>
      </c>
      <c r="U117" s="159" t="str">
        <f t="shared" si="16"/>
        <v>1.03113501522399-0.0202852736167842j</v>
      </c>
      <c r="V117" s="159" t="str">
        <f t="shared" si="17"/>
        <v>32.9633571300376-0.648480275461633j</v>
      </c>
      <c r="X117" s="159" t="str">
        <f t="shared" si="18"/>
        <v>0.270775737993291+0.449721558251519j</v>
      </c>
      <c r="Y117" s="159">
        <f t="shared" si="19"/>
        <v>-5.5976967090061214</v>
      </c>
      <c r="Z117" s="159">
        <f t="shared" si="20"/>
        <v>-121.05199524416864</v>
      </c>
      <c r="AB117" s="159" t="str">
        <f t="shared" si="21"/>
        <v>14.5181048799989-0.285611220198913j</v>
      </c>
      <c r="AC117" s="159">
        <f t="shared" si="22"/>
        <v>23.239879059903949</v>
      </c>
      <c r="AD117" s="159">
        <f t="shared" si="23"/>
        <v>178.87297915040818</v>
      </c>
      <c r="AF117" s="159" t="str">
        <f t="shared" si="24"/>
        <v>10.0823310074707-3.7928429758168j</v>
      </c>
      <c r="AG117" s="159">
        <f t="shared" si="25"/>
        <v>20.646041885109675</v>
      </c>
      <c r="AH117" s="159">
        <f t="shared" si="26"/>
        <v>159.38434719557304</v>
      </c>
      <c r="AJ117" s="159" t="str">
        <f t="shared" si="27"/>
        <v>157191.341183617-6965.5217547171j</v>
      </c>
      <c r="AK117" s="159" t="str">
        <f t="shared" si="28"/>
        <v>30000-6.49265576847684E-06j</v>
      </c>
      <c r="AL117" s="159" t="str">
        <f t="shared" si="43"/>
        <v>10000-3080403.56876829j</v>
      </c>
      <c r="AM117" s="159" t="str">
        <f t="shared" si="44"/>
        <v>963.134292447021-955989.470755474j</v>
      </c>
      <c r="AN117" s="159" t="str">
        <f t="shared" si="45"/>
        <v>10963.134292447-955989.470755474j</v>
      </c>
      <c r="AO117" s="159" t="str">
        <f t="shared" si="46"/>
        <v>29959.7345248951-939.707636556722j</v>
      </c>
      <c r="AP117" s="159" t="str">
        <f t="shared" si="47"/>
        <v>0.160042222845383+0.00595528389508013j</v>
      </c>
      <c r="AQ117" s="159" t="str">
        <f t="shared" si="29"/>
        <v>1+0.720684790300928j</v>
      </c>
      <c r="AR117" s="159">
        <f t="shared" si="51"/>
        <v>2.2014028983319579E-8</v>
      </c>
      <c r="AS117" s="159" t="str">
        <f t="shared" si="31"/>
        <v>0.0000196582467139352j</v>
      </c>
      <c r="AT117" s="159" t="str">
        <f t="shared" si="32"/>
        <v>2.20140289833196E-08+0.0000196582467139352j</v>
      </c>
      <c r="AU117" s="159" t="str">
        <f t="shared" si="33"/>
        <v>5.50764062901678-7.6242178064292j</v>
      </c>
      <c r="AW117" s="159" t="str">
        <f t="shared" si="48"/>
        <v>0.920881792812108-1.19201705736135j</v>
      </c>
      <c r="AX117" s="159">
        <f t="shared" si="34"/>
        <v>3.5582070339445293</v>
      </c>
      <c r="AY117" s="159">
        <f t="shared" si="35"/>
        <v>127.68754965583059</v>
      </c>
      <c r="AZ117" s="159" t="str">
        <f t="shared" si="36"/>
        <v>13.0290050038767-17.5688428300238j</v>
      </c>
      <c r="BA117" s="159">
        <f t="shared" si="37"/>
        <v>26.798086093848489</v>
      </c>
      <c r="BB117" s="159">
        <f t="shared" si="38"/>
        <v>126.56052880623869</v>
      </c>
      <c r="BD117" s="159" t="str">
        <f t="shared" si="39"/>
        <v>4.76350153081793-15.5110705782933j</v>
      </c>
      <c r="BE117" s="159">
        <f t="shared" si="40"/>
        <v>24.204248919054208</v>
      </c>
      <c r="BF117" s="159">
        <f t="shared" si="41"/>
        <v>107.07189685140366</v>
      </c>
      <c r="BH117" s="159">
        <f t="shared" si="49"/>
        <v>-23.204248919054208</v>
      </c>
      <c r="BI117" s="169">
        <f t="shared" si="50"/>
        <v>-107.07189685140366</v>
      </c>
      <c r="BN117" s="165"/>
      <c r="BO117" s="165"/>
      <c r="BP117" s="165"/>
    </row>
    <row r="118" spans="1:68" s="159" customFormat="1">
      <c r="A118" s="159">
        <v>54</v>
      </c>
      <c r="B118" s="159">
        <f t="shared" si="42"/>
        <v>1202.2644346174134</v>
      </c>
      <c r="C118" s="159" t="str">
        <f t="shared" si="0"/>
        <v>7554.0502309327j</v>
      </c>
      <c r="D118" s="159">
        <f t="shared" si="1"/>
        <v>0.99997687296366811</v>
      </c>
      <c r="E118" s="159" t="str">
        <f t="shared" si="2"/>
        <v>-0.0075540502309327j</v>
      </c>
      <c r="F118" s="159" t="str">
        <f t="shared" si="3"/>
        <v>0.999976872963668-0.0075540502309327j</v>
      </c>
      <c r="G118" s="159">
        <f t="shared" si="4"/>
        <v>4.6947575102600981E-5</v>
      </c>
      <c r="H118" s="159">
        <f t="shared" si="5"/>
        <v>-0.43281697346199788</v>
      </c>
      <c r="J118" s="159">
        <f t="shared" si="6"/>
        <v>6.3936063936063938</v>
      </c>
      <c r="K118" s="159" t="str">
        <f t="shared" si="7"/>
        <v>1+1.85100669833659j</v>
      </c>
      <c r="L118" s="159">
        <f t="shared" si="8"/>
        <v>0.96647529052460934</v>
      </c>
      <c r="M118" s="159" t="str">
        <f t="shared" si="9"/>
        <v>0.0202264788823239j</v>
      </c>
      <c r="N118" s="159" t="str">
        <f t="shared" si="10"/>
        <v>0.966475290524609+0.0202264788823239j</v>
      </c>
      <c r="O118" s="159" t="str">
        <f t="shared" si="11"/>
        <v>1.07429883301548+1.89273066120951j</v>
      </c>
      <c r="P118" s="159" t="str">
        <f t="shared" si="12"/>
        <v>6.86864388741166+12.101374856884j</v>
      </c>
      <c r="R118" s="159">
        <f t="shared" si="13"/>
        <v>31.968031968031973</v>
      </c>
      <c r="S118" s="159" t="str">
        <f t="shared" si="14"/>
        <v>1+0.000264391758082644j</v>
      </c>
      <c r="T118" s="159" t="str">
        <f t="shared" si="15"/>
        <v>0.966475290524609+0.0202264788823239j</v>
      </c>
      <c r="U118" s="159" t="str">
        <f t="shared" si="16"/>
        <v>1.03424034480331-0.0213711089541848j</v>
      </c>
      <c r="V118" s="159" t="str">
        <f t="shared" si="17"/>
        <v>33.0626284053006-0.683192294239674j</v>
      </c>
      <c r="X118" s="159" t="str">
        <f t="shared" si="18"/>
        <v>0.272817022343747+0.472309884485077j</v>
      </c>
      <c r="Y118" s="159">
        <f t="shared" si="19"/>
        <v>-5.2650462928287842</v>
      </c>
      <c r="Z118" s="159">
        <f t="shared" si="20"/>
        <v>-120.01171562474985</v>
      </c>
      <c r="AB118" s="159" t="str">
        <f t="shared" si="21"/>
        <v>14.5618270888794-0.300899490966604j</v>
      </c>
      <c r="AC118" s="159">
        <f t="shared" si="22"/>
        <v>23.26617136660715</v>
      </c>
      <c r="AD118" s="159">
        <f t="shared" si="23"/>
        <v>178.81623249318707</v>
      </c>
      <c r="AF118" s="159" t="str">
        <f t="shared" si="24"/>
        <v>9.97885434290718-3.93930230735425j</v>
      </c>
      <c r="AG118" s="159">
        <f t="shared" si="25"/>
        <v>20.610588596164522</v>
      </c>
      <c r="AH118" s="159">
        <f t="shared" si="26"/>
        <v>158.457628893704</v>
      </c>
      <c r="AJ118" s="159" t="str">
        <f t="shared" si="27"/>
        <v>157161.62631479-7292.41788912887j</v>
      </c>
      <c r="AK118" s="159" t="str">
        <f t="shared" si="28"/>
        <v>30000-6.79864520783943E-06j</v>
      </c>
      <c r="AL118" s="159" t="str">
        <f t="shared" si="43"/>
        <v>10000-2941762.57012768j</v>
      </c>
      <c r="AM118" s="159" t="str">
        <f t="shared" si="44"/>
        <v>963.133826686805-912963.055558651j</v>
      </c>
      <c r="AN118" s="159" t="str">
        <f t="shared" si="45"/>
        <v>10963.1338266868-912963.055558651j</v>
      </c>
      <c r="AO118" s="159" t="str">
        <f t="shared" si="46"/>
        <v>29955.8576090881-983.820528185837j</v>
      </c>
      <c r="AP118" s="159" t="str">
        <f t="shared" si="47"/>
        <v>0.160046296204829+0.00623591753717379j</v>
      </c>
      <c r="AQ118" s="159" t="str">
        <f t="shared" si="29"/>
        <v>1+0.754649618070177j</v>
      </c>
      <c r="AR118" s="159">
        <f t="shared" si="51"/>
        <v>1.4490083175155564E-8</v>
      </c>
      <c r="AS118" s="159" t="str">
        <f t="shared" si="31"/>
        <v>0.0000205847113387893j</v>
      </c>
      <c r="AT118" s="159" t="str">
        <f t="shared" si="32"/>
        <v>1.44900831751556E-08+0.0000205847113387893j</v>
      </c>
      <c r="AU118" s="159" t="str">
        <f t="shared" si="33"/>
        <v>5.50422949255629-7.28308698574422j</v>
      </c>
      <c r="AW118" s="159" t="str">
        <f t="shared" si="48"/>
        <v>0.920382410598163-1.13614213347105j</v>
      </c>
      <c r="AX118" s="159">
        <f t="shared" si="34"/>
        <v>3.2999200447692321</v>
      </c>
      <c r="AY118" s="159">
        <f t="shared" si="35"/>
        <v>129.01073927416323</v>
      </c>
      <c r="AZ118" s="159" t="str">
        <f t="shared" si="36"/>
        <v>13.0605849291493-16.8212478948395j</v>
      </c>
      <c r="BA118" s="159">
        <f t="shared" si="37"/>
        <v>26.566091411376359</v>
      </c>
      <c r="BB118" s="159">
        <f t="shared" si="38"/>
        <v>127.82697176735041</v>
      </c>
      <c r="BD118" s="159" t="str">
        <f t="shared" si="39"/>
        <v>4.70875468726799-14.963061416465j</v>
      </c>
      <c r="BE118" s="159">
        <f t="shared" si="40"/>
        <v>23.910508640933745</v>
      </c>
      <c r="BF118" s="159">
        <f t="shared" si="41"/>
        <v>107.46836816786733</v>
      </c>
      <c r="BH118" s="159">
        <f t="shared" si="49"/>
        <v>-22.910508640933745</v>
      </c>
      <c r="BI118" s="169">
        <f t="shared" si="50"/>
        <v>-107.46836816786733</v>
      </c>
      <c r="BN118" s="165"/>
      <c r="BO118" s="165"/>
      <c r="BP118" s="165"/>
    </row>
    <row r="119" spans="1:68" s="159" customFormat="1">
      <c r="A119" s="159">
        <v>55</v>
      </c>
      <c r="B119" s="159">
        <f t="shared" si="42"/>
        <v>1258.925411794168</v>
      </c>
      <c r="C119" s="159" t="str">
        <f t="shared" si="0"/>
        <v>7910.06165022013j</v>
      </c>
      <c r="D119" s="159">
        <f t="shared" si="1"/>
        <v>0.99997464170892059</v>
      </c>
      <c r="E119" s="159" t="str">
        <f t="shared" si="2"/>
        <v>-0.00791006165022013j</v>
      </c>
      <c r="F119" s="159" t="str">
        <f t="shared" si="3"/>
        <v>0.999974641708921-0.00791006165022013j</v>
      </c>
      <c r="G119" s="159">
        <f t="shared" si="4"/>
        <v>5.147721134617918E-5</v>
      </c>
      <c r="H119" s="159">
        <f t="shared" si="5"/>
        <v>-0.45321518850816978</v>
      </c>
      <c r="J119" s="159">
        <f t="shared" si="6"/>
        <v>6.3936063936063938</v>
      </c>
      <c r="K119" s="159" t="str">
        <f t="shared" si="7"/>
        <v>1+1.93824195646169j</v>
      </c>
      <c r="L119" s="159">
        <f t="shared" si="8"/>
        <v>0.96324088702819921</v>
      </c>
      <c r="M119" s="159" t="str">
        <f t="shared" si="9"/>
        <v>0.02117972346423j</v>
      </c>
      <c r="N119" s="159" t="str">
        <f t="shared" si="10"/>
        <v>0.963240887028199+0.02117972346423j</v>
      </c>
      <c r="O119" s="159" t="str">
        <f t="shared" si="11"/>
        <v>1.08188326645477+1.98842054344972j</v>
      </c>
      <c r="P119" s="159" t="str">
        <f t="shared" si="12"/>
        <v>6.91713576954099+12.7131782997784j</v>
      </c>
      <c r="R119" s="159">
        <f t="shared" si="13"/>
        <v>31.968031968031973</v>
      </c>
      <c r="S119" s="159" t="str">
        <f t="shared" si="14"/>
        <v>1+0.000276852157757705j</v>
      </c>
      <c r="T119" s="159" t="str">
        <f t="shared" si="15"/>
        <v>0.963240887028199+0.02117972346423j</v>
      </c>
      <c r="U119" s="159" t="str">
        <f t="shared" si="16"/>
        <v>1.03766654863811-0.0225287762206922j</v>
      </c>
      <c r="V119" s="159" t="str">
        <f t="shared" si="17"/>
        <v>33.1721573990205-0.720200638423727j</v>
      </c>
      <c r="X119" s="159" t="str">
        <f t="shared" si="18"/>
        <v>0.275075750907685+0.496179054876945j</v>
      </c>
      <c r="Y119" s="159">
        <f t="shared" si="19"/>
        <v>-4.9233255690153879</v>
      </c>
      <c r="Z119" s="159">
        <f t="shared" si="20"/>
        <v>-119.00346338773493</v>
      </c>
      <c r="AB119" s="159" t="str">
        <f t="shared" si="21"/>
        <v>14.6100671213479-0.317199136059779j</v>
      </c>
      <c r="AC119" s="159">
        <f t="shared" si="22"/>
        <v>23.295090863767903</v>
      </c>
      <c r="AD119" s="159">
        <f t="shared" si="23"/>
        <v>178.75624685041015</v>
      </c>
      <c r="AF119" s="159" t="str">
        <f t="shared" si="24"/>
        <v>9.86722118463084-4.08846895096281j</v>
      </c>
      <c r="AG119" s="159">
        <f t="shared" si="25"/>
        <v>20.572004986315704</v>
      </c>
      <c r="AH119" s="159">
        <f t="shared" si="26"/>
        <v>157.49339794843829</v>
      </c>
      <c r="AJ119" s="159" t="str">
        <f t="shared" si="27"/>
        <v>157129.057518816-7634.51651790105j</v>
      </c>
      <c r="AK119" s="159" t="str">
        <f t="shared" si="28"/>
        <v>30000-7.11905548519812E-06j</v>
      </c>
      <c r="AL119" s="159" t="str">
        <f t="shared" si="43"/>
        <v>10000-2809361.4443073j</v>
      </c>
      <c r="AM119" s="159" t="str">
        <f t="shared" si="44"/>
        <v>963.133315991392-871873.157405548j</v>
      </c>
      <c r="AN119" s="159" t="str">
        <f t="shared" si="45"/>
        <v>10963.1333159914-871873.157405548j</v>
      </c>
      <c r="AO119" s="159" t="str">
        <f t="shared" si="46"/>
        <v>29951.6082345804-1029.98666747988j</v>
      </c>
      <c r="AP119" s="159" t="str">
        <f t="shared" si="47"/>
        <v>0.160050762509237+0.00652977255537622j</v>
      </c>
      <c r="AQ119" s="159" t="str">
        <f t="shared" si="29"/>
        <v>1+0.790215158856991j</v>
      </c>
      <c r="AR119" s="159">
        <f t="shared" si="51"/>
        <v>6.2402406475406131E-9</v>
      </c>
      <c r="AS119" s="159" t="str">
        <f t="shared" si="31"/>
        <v>0.0000215548388962334j</v>
      </c>
      <c r="AT119" s="159" t="str">
        <f t="shared" si="32"/>
        <v>6.24024064754061E-09+0.0000215548388962334j</v>
      </c>
      <c r="AU119" s="159" t="str">
        <f t="shared" si="33"/>
        <v>5.50111695382924-6.95740165019668j</v>
      </c>
      <c r="AW119" s="159" t="str">
        <f t="shared" si="48"/>
        <v>0.919935263051667-1.08267675709986j</v>
      </c>
      <c r="AX119" s="159">
        <f t="shared" si="34"/>
        <v>3.0502226640554486</v>
      </c>
      <c r="AY119" s="159">
        <f t="shared" si="35"/>
        <v>130.35408971072926</v>
      </c>
      <c r="AZ119" s="159" t="str">
        <f t="shared" si="36"/>
        <v>13.0968918084957-16.1097827626232j</v>
      </c>
      <c r="BA119" s="159">
        <f t="shared" si="37"/>
        <v>26.345313527823393</v>
      </c>
      <c r="BB119" s="159">
        <f t="shared" si="38"/>
        <v>129.11033656113949</v>
      </c>
      <c r="BD119" s="159" t="str">
        <f t="shared" si="39"/>
        <v>4.65071441074052-14.4441377936458j</v>
      </c>
      <c r="BE119" s="159">
        <f t="shared" si="40"/>
        <v>23.622227650371215</v>
      </c>
      <c r="BF119" s="159">
        <f t="shared" si="41"/>
        <v>107.8474876591676</v>
      </c>
      <c r="BH119" s="159">
        <f t="shared" si="49"/>
        <v>-22.622227650371215</v>
      </c>
      <c r="BI119" s="169">
        <f t="shared" si="50"/>
        <v>-107.8474876591676</v>
      </c>
      <c r="BN119" s="165"/>
      <c r="BO119" s="165"/>
      <c r="BP119" s="165"/>
    </row>
    <row r="120" spans="1:68" s="159" customFormat="1">
      <c r="A120" s="159">
        <v>56</v>
      </c>
      <c r="B120" s="159">
        <f t="shared" si="42"/>
        <v>1318.2567385564075</v>
      </c>
      <c r="C120" s="159" t="str">
        <f t="shared" si="0"/>
        <v>8282.8513707881j</v>
      </c>
      <c r="D120" s="159">
        <f t="shared" si="1"/>
        <v>0.99997219518673996</v>
      </c>
      <c r="E120" s="159" t="str">
        <f t="shared" si="2"/>
        <v>-0.0082828513707881j</v>
      </c>
      <c r="F120" s="159" t="str">
        <f t="shared" si="3"/>
        <v>0.99997219518674-0.0082828513707881j</v>
      </c>
      <c r="G120" s="159">
        <f t="shared" si="4"/>
        <v>5.6443902987373055E-5</v>
      </c>
      <c r="H120" s="159">
        <f t="shared" si="5"/>
        <v>-0.47457476840675616</v>
      </c>
      <c r="J120" s="159">
        <f t="shared" si="6"/>
        <v>6.3936063936063938</v>
      </c>
      <c r="K120" s="159" t="str">
        <f t="shared" si="7"/>
        <v>1+2.02958848564106j</v>
      </c>
      <c r="L120" s="159">
        <f t="shared" si="8"/>
        <v>0.9596944341168564</v>
      </c>
      <c r="M120" s="159" t="str">
        <f t="shared" si="9"/>
        <v>0.0221778930792187j</v>
      </c>
      <c r="N120" s="159" t="str">
        <f t="shared" si="10"/>
        <v>0.959694434116856+0.0221778930792187j</v>
      </c>
      <c r="O120" s="159" t="str">
        <f t="shared" si="11"/>
        <v>1.09028832261334+2.08963198754202j</v>
      </c>
      <c r="P120" s="159" t="str">
        <f t="shared" si="12"/>
        <v>6.97087439033504+13.3602844358331j</v>
      </c>
      <c r="R120" s="159">
        <f t="shared" si="13"/>
        <v>31.968031968031973</v>
      </c>
      <c r="S120" s="159" t="str">
        <f t="shared" si="14"/>
        <v>1+0.000289899797977583j</v>
      </c>
      <c r="T120" s="159" t="str">
        <f t="shared" si="15"/>
        <v>0.959694434116856+0.0221778930792187j</v>
      </c>
      <c r="U120" s="159" t="str">
        <f t="shared" si="16"/>
        <v>1.04144913662912-0.0237651141768012j</v>
      </c>
      <c r="V120" s="159" t="str">
        <f t="shared" si="17"/>
        <v>33.293079292839-0.759723929727911j</v>
      </c>
      <c r="X120" s="159" t="str">
        <f t="shared" si="18"/>
        <v>0.277577371367001+0.52142413886001j</v>
      </c>
      <c r="Y120" s="159">
        <f t="shared" si="19"/>
        <v>-4.5725878993408795</v>
      </c>
      <c r="Z120" s="159">
        <f t="shared" si="20"/>
        <v>-118.02836796784597</v>
      </c>
      <c r="AB120" s="159" t="str">
        <f t="shared" si="21"/>
        <v>14.6633249472975-0.334606443394808j</v>
      </c>
      <c r="AC120" s="159">
        <f t="shared" si="22"/>
        <v>23.32691004427295</v>
      </c>
      <c r="AD120" s="159">
        <f t="shared" si="23"/>
        <v>178.69277872178264</v>
      </c>
      <c r="AF120" s="159" t="str">
        <f t="shared" si="24"/>
        <v>9.74695986015296-4.23998320288194j</v>
      </c>
      <c r="AG120" s="159">
        <f t="shared" si="25"/>
        <v>20.530041999772198</v>
      </c>
      <c r="AH120" s="159">
        <f t="shared" si="26"/>
        <v>156.49068463138846</v>
      </c>
      <c r="AJ120" s="159" t="str">
        <f t="shared" si="27"/>
        <v>157093.362055469-7992.50410357424j</v>
      </c>
      <c r="AK120" s="159" t="str">
        <f t="shared" si="28"/>
        <v>30000-7.45456623370929E-06j</v>
      </c>
      <c r="AL120" s="159" t="str">
        <f t="shared" si="43"/>
        <v>10000-2682919.35076795j</v>
      </c>
      <c r="AM120" s="159" t="str">
        <f t="shared" si="44"/>
        <v>963.132756025631-832632.61911313j</v>
      </c>
      <c r="AN120" s="159" t="str">
        <f t="shared" si="45"/>
        <v>10963.1327560256-832632.61911313j</v>
      </c>
      <c r="AO120" s="159" t="str">
        <f t="shared" si="46"/>
        <v>29946.9507855233-1078.29902837578j</v>
      </c>
      <c r="AP120" s="159" t="str">
        <f t="shared" si="47"/>
        <v>0.160055659660046+0.0068374713903132j</v>
      </c>
      <c r="AQ120" s="159" t="str">
        <f t="shared" si="29"/>
        <v>1+0.827456851941731j</v>
      </c>
      <c r="AR120" s="159">
        <f t="shared" si="51"/>
        <v>-2.8055318056036111E-9</v>
      </c>
      <c r="AS120" s="159" t="str">
        <f t="shared" si="31"/>
        <v>0.0000225706871568839j</v>
      </c>
      <c r="AT120" s="159" t="str">
        <f t="shared" si="32"/>
        <v>-2.80553180560361E-09+0.0000225706871568839j</v>
      </c>
      <c r="AU120" s="159" t="str">
        <f t="shared" si="33"/>
        <v>5.49827659396875-6.64647135229584j</v>
      </c>
      <c r="AW120" s="159" t="str">
        <f t="shared" si="48"/>
        <v>0.919536554585349-1.03150759647316j</v>
      </c>
      <c r="AX120" s="159">
        <f t="shared" si="34"/>
        <v>2.8093226191112208</v>
      </c>
      <c r="AY120" s="159">
        <f t="shared" si="35"/>
        <v>131.71538002939212</v>
      </c>
      <c r="AZ120" s="159" t="str">
        <f t="shared" si="36"/>
        <v>13.1383142126127-15.4330139287931j</v>
      </c>
      <c r="BA120" s="159">
        <f t="shared" si="37"/>
        <v>26.136232663384167</v>
      </c>
      <c r="BB120" s="159">
        <f t="shared" si="38"/>
        <v>130.40815875117471</v>
      </c>
      <c r="BD120" s="159" t="str">
        <f t="shared" si="39"/>
        <v>4.5891110047954-13.9528826841446j</v>
      </c>
      <c r="BE120" s="159">
        <f t="shared" si="40"/>
        <v>23.339364618883437</v>
      </c>
      <c r="BF120" s="159">
        <f t="shared" si="41"/>
        <v>108.20606466078046</v>
      </c>
      <c r="BH120" s="159">
        <f t="shared" si="49"/>
        <v>-22.339364618883437</v>
      </c>
      <c r="BI120" s="169">
        <f t="shared" si="50"/>
        <v>-108.20606466078046</v>
      </c>
      <c r="BN120" s="165"/>
      <c r="BO120" s="165"/>
      <c r="BP120" s="165"/>
    </row>
    <row r="121" spans="1:68" s="159" customFormat="1">
      <c r="A121" s="159">
        <v>57</v>
      </c>
      <c r="B121" s="159">
        <f t="shared" si="42"/>
        <v>1380.3842646028857</v>
      </c>
      <c r="C121" s="159" t="str">
        <f t="shared" si="0"/>
        <v>8673.21012961475j</v>
      </c>
      <c r="D121" s="159">
        <f t="shared" si="1"/>
        <v>0.99996951262851264</v>
      </c>
      <c r="E121" s="159" t="str">
        <f t="shared" si="2"/>
        <v>-0.00867321012961475j</v>
      </c>
      <c r="F121" s="159" t="str">
        <f t="shared" si="3"/>
        <v>0.999969512628513-0.00867321012961475j</v>
      </c>
      <c r="G121" s="159">
        <f t="shared" si="4"/>
        <v>6.1889825311267003E-5</v>
      </c>
      <c r="H121" s="159">
        <f t="shared" si="5"/>
        <v>-0.49694102482711333</v>
      </c>
      <c r="J121" s="159">
        <f t="shared" si="6"/>
        <v>6.3936063936063938</v>
      </c>
      <c r="K121" s="159" t="str">
        <f t="shared" si="7"/>
        <v>1+2.12524004411015j</v>
      </c>
      <c r="L121" s="159">
        <f t="shared" si="8"/>
        <v>0.95580582582592033</v>
      </c>
      <c r="M121" s="159" t="str">
        <f t="shared" si="9"/>
        <v>0.0232231049788704j</v>
      </c>
      <c r="N121" s="159" t="str">
        <f t="shared" si="10"/>
        <v>0.95580582582592+0.0232231049788704j</v>
      </c>
      <c r="O121" s="159" t="str">
        <f t="shared" si="11"/>
        <v>1.09961273585257+2.19678889307352j</v>
      </c>
      <c r="P121" s="159" t="str">
        <f t="shared" si="12"/>
        <v>7.03049101843801+14.0454035121584j</v>
      </c>
      <c r="R121" s="159">
        <f t="shared" si="13"/>
        <v>31.968031968031973</v>
      </c>
      <c r="S121" s="159" t="str">
        <f t="shared" si="14"/>
        <v>1+0.000303562354536516j</v>
      </c>
      <c r="T121" s="159" t="str">
        <f t="shared" si="15"/>
        <v>0.95580582582592+0.0232231049788704j</v>
      </c>
      <c r="U121" s="159" t="str">
        <f t="shared" si="16"/>
        <v>1.04562804902363-0.0250879069251018j</v>
      </c>
      <c r="V121" s="159" t="str">
        <f t="shared" si="17"/>
        <v>33.4266708978583-0.802011010592665j</v>
      </c>
      <c r="X121" s="159" t="str">
        <f t="shared" si="18"/>
        <v>0.280350800167534+0.54815056406685j</v>
      </c>
      <c r="Y121" s="159">
        <f t="shared" si="19"/>
        <v>-4.2128561198101142</v>
      </c>
      <c r="Z121" s="159">
        <f t="shared" si="20"/>
        <v>-117.08740651483096</v>
      </c>
      <c r="AB121" s="159" t="str">
        <f t="shared" si="21"/>
        <v>14.7221629147141-0.353231011051603j</v>
      </c>
      <c r="AC121" s="159">
        <f t="shared" si="22"/>
        <v>23.361931774440137</v>
      </c>
      <c r="AD121" s="159">
        <f t="shared" si="23"/>
        <v>178.62555767223884</v>
      </c>
      <c r="AF121" s="159" t="str">
        <f t="shared" si="24"/>
        <v>9.61760213857901-4.39342487039349j</v>
      </c>
      <c r="AG121" s="159">
        <f t="shared" si="25"/>
        <v>20.484435632078256</v>
      </c>
      <c r="AH121" s="159">
        <f t="shared" si="26"/>
        <v>155.4485657649499</v>
      </c>
      <c r="AJ121" s="159" t="str">
        <f t="shared" si="27"/>
        <v>157054.241394166-8367.0950564767j</v>
      </c>
      <c r="AK121" s="159" t="str">
        <f t="shared" si="28"/>
        <v>30000-7.80588911665329E-06j</v>
      </c>
      <c r="AL121" s="159" t="str">
        <f t="shared" si="43"/>
        <v>10000-2562168.08887683j</v>
      </c>
      <c r="AM121" s="159" t="str">
        <f t="shared" si="44"/>
        <v>963.13214203614-795158.20623857j</v>
      </c>
      <c r="AN121" s="159" t="str">
        <f t="shared" si="45"/>
        <v>10963.1321420361-795158.20623857j</v>
      </c>
      <c r="AO121" s="159" t="str">
        <f t="shared" si="46"/>
        <v>29941.8462739434-1128.85440958876j</v>
      </c>
      <c r="AP121" s="159" t="str">
        <f t="shared" si="47"/>
        <v>0.160061029213498+0.00715966571903743j</v>
      </c>
      <c r="AQ121" s="159" t="str">
        <f t="shared" si="29"/>
        <v>1+0.866453691948514j</v>
      </c>
      <c r="AR121" s="159">
        <f t="shared" si="51"/>
        <v>-1.2724024067749186E-8</v>
      </c>
      <c r="AS121" s="159" t="str">
        <f t="shared" si="31"/>
        <v>0.0000236344108710989j</v>
      </c>
      <c r="AT121" s="159" t="str">
        <f t="shared" si="32"/>
        <v>-1.27240240677492E-08+0.0000236344108710989j</v>
      </c>
      <c r="AU121" s="159" t="str">
        <f t="shared" si="33"/>
        <v>5.495684304044-6.34963689333441j</v>
      </c>
      <c r="AW121" s="159" t="str">
        <f t="shared" si="48"/>
        <v>0.919182900654459-0.982526184914377j</v>
      </c>
      <c r="AX121" s="159">
        <f t="shared" si="34"/>
        <v>2.5773973383767408</v>
      </c>
      <c r="AY121" s="159">
        <f t="shared" si="35"/>
        <v>133.09226259896758</v>
      </c>
      <c r="AZ121" s="159" t="str">
        <f t="shared" si="36"/>
        <v>13.1853016941724-14.7895944676215j</v>
      </c>
      <c r="BA121" s="159">
        <f t="shared" si="37"/>
        <v>25.939329112816875</v>
      </c>
      <c r="BB121" s="159">
        <f t="shared" si="38"/>
        <v>131.71782027120634</v>
      </c>
      <c r="BD121" s="159" t="str">
        <f t="shared" si="39"/>
        <v>4.5236804544639-13.4879069534181j</v>
      </c>
      <c r="BE121" s="159">
        <f t="shared" si="40"/>
        <v>23.061832970454983</v>
      </c>
      <c r="BF121" s="159">
        <f t="shared" si="41"/>
        <v>108.54082836391738</v>
      </c>
      <c r="BH121" s="159">
        <f t="shared" si="49"/>
        <v>-22.061832970454983</v>
      </c>
      <c r="BI121" s="169">
        <f t="shared" si="50"/>
        <v>-108.54082836391738</v>
      </c>
      <c r="BN121" s="165"/>
      <c r="BO121" s="165"/>
      <c r="BP121" s="165"/>
    </row>
    <row r="122" spans="1:68" s="159" customFormat="1">
      <c r="A122" s="159">
        <v>58</v>
      </c>
      <c r="B122" s="159">
        <f t="shared" si="42"/>
        <v>1445.4397707459275</v>
      </c>
      <c r="C122" s="159" t="str">
        <f t="shared" si="0"/>
        <v>9081.96592996384j</v>
      </c>
      <c r="D122" s="159">
        <f t="shared" si="1"/>
        <v>0.99996657126190636</v>
      </c>
      <c r="E122" s="159" t="str">
        <f t="shared" si="2"/>
        <v>-0.00908196592996384j</v>
      </c>
      <c r="F122" s="159" t="str">
        <f t="shared" si="3"/>
        <v>0.999966571261906-0.00908196592996384j</v>
      </c>
      <c r="G122" s="159">
        <f t="shared" si="4"/>
        <v>6.7861224379896939E-5</v>
      </c>
      <c r="H122" s="159">
        <f t="shared" si="5"/>
        <v>-0.52036140549537513</v>
      </c>
      <c r="J122" s="159">
        <f t="shared" si="6"/>
        <v>6.3936063936063938</v>
      </c>
      <c r="K122" s="159" t="str">
        <f t="shared" si="7"/>
        <v>1+2.22539952164869j</v>
      </c>
      <c r="L122" s="159">
        <f t="shared" si="8"/>
        <v>0.95154205162156746</v>
      </c>
      <c r="M122" s="159" t="str">
        <f t="shared" si="9"/>
        <v>0.0243175761977582j</v>
      </c>
      <c r="N122" s="159" t="str">
        <f t="shared" si="10"/>
        <v>0.951542051621567+0.0243175761977582j</v>
      </c>
      <c r="O122" s="159" t="str">
        <f t="shared" si="11"/>
        <v>1.109969267122+2.31036322112288j</v>
      </c>
      <c r="P122" s="159" t="str">
        <f t="shared" si="12"/>
        <v>7.09670660297782+14.7715530621243j</v>
      </c>
      <c r="R122" s="159">
        <f t="shared" si="13"/>
        <v>31.968031968031973</v>
      </c>
      <c r="S122" s="159" t="str">
        <f t="shared" si="14"/>
        <v>1+0.000317868807548734j</v>
      </c>
      <c r="T122" s="159" t="str">
        <f t="shared" si="15"/>
        <v>0.951542051621567+0.0243175761977582j</v>
      </c>
      <c r="U122" s="159" t="str">
        <f t="shared" si="16"/>
        <v>1.05024831568768-0.0265060536134713j</v>
      </c>
      <c r="V122" s="159" t="str">
        <f t="shared" si="17"/>
        <v>33.5743717302755-0.84734636926182j</v>
      </c>
      <c r="X122" s="159" t="str">
        <f t="shared" si="18"/>
        <v>0.283429000594589+0.57647568491278j</v>
      </c>
      <c r="Y122" s="159">
        <f t="shared" si="19"/>
        <v>-3.8441161100808063</v>
      </c>
      <c r="Z122" s="159">
        <f t="shared" si="20"/>
        <v>-116.18141710463615</v>
      </c>
      <c r="AB122" s="159" t="str">
        <f t="shared" si="21"/>
        <v>14.7872150320526-0.373198136649117j</v>
      </c>
      <c r="AC122" s="159">
        <f t="shared" si="22"/>
        <v>23.400493129766794</v>
      </c>
      <c r="AD122" s="159">
        <f t="shared" si="23"/>
        <v>178.55428220036256</v>
      </c>
      <c r="AF122" s="159" t="str">
        <f t="shared" si="24"/>
        <v>9.47868967944302-4.54830945769291j</v>
      </c>
      <c r="AG122" s="159">
        <f t="shared" si="25"/>
        <v>20.43490688214878</v>
      </c>
      <c r="AH122" s="159">
        <f t="shared" si="26"/>
        <v>154.36617508146051</v>
      </c>
      <c r="AJ122" s="159" t="str">
        <f t="shared" si="27"/>
        <v>157011.368830597-8759.03241010178j</v>
      </c>
      <c r="AK122" s="159" t="str">
        <f t="shared" si="28"/>
        <v>30000-8.17376933696745E-06j</v>
      </c>
      <c r="AL122" s="159" t="str">
        <f t="shared" si="43"/>
        <v>10000-2446851.52901809j</v>
      </c>
      <c r="AM122" s="159" t="str">
        <f t="shared" si="44"/>
        <v>963.131468810941-759370.430527845j</v>
      </c>
      <c r="AN122" s="159" t="str">
        <f t="shared" si="45"/>
        <v>10963.1314688109-759370.430527845j</v>
      </c>
      <c r="AO122" s="159" t="str">
        <f t="shared" si="46"/>
        <v>29936.2520272443-1181.75353362734j</v>
      </c>
      <c r="AP122" s="159" t="str">
        <f t="shared" si="47"/>
        <v>0.160066916732875+0.00749703781834202j</v>
      </c>
      <c r="AQ122" s="159" t="str">
        <f t="shared" si="29"/>
        <v>1+0.907288396403388j</v>
      </c>
      <c r="AR122" s="159">
        <f t="shared" si="51"/>
        <v>-2.359943457180649E-8</v>
      </c>
      <c r="AS122" s="159" t="str">
        <f t="shared" si="31"/>
        <v>0.0000247482663394922j</v>
      </c>
      <c r="AT122" s="159" t="str">
        <f t="shared" si="32"/>
        <v>-2.35994345718065E-08+0.0000247482663394922j</v>
      </c>
      <c r="AU122" s="159" t="str">
        <f t="shared" si="33"/>
        <v>5.49331808050021-6.06626893137369j</v>
      </c>
      <c r="AW122" s="159" t="str">
        <f t="shared" si="48"/>
        <v>0.918871299028842-0.935628692109916j</v>
      </c>
      <c r="AX122" s="159">
        <f t="shared" si="34"/>
        <v>2.3545913446115323</v>
      </c>
      <c r="AY122" s="159">
        <f t="shared" si="35"/>
        <v>134.48228537428406</v>
      </c>
      <c r="AZ122" s="159" t="str">
        <f t="shared" si="36"/>
        <v>13.2383726010302-14.1782637170054j</v>
      </c>
      <c r="BA122" s="159">
        <f t="shared" si="37"/>
        <v>25.755084474378354</v>
      </c>
      <c r="BB122" s="159">
        <f t="shared" si="38"/>
        <v>133.03656757464671</v>
      </c>
      <c r="BD122" s="159" t="str">
        <f t="shared" si="39"/>
        <v>4.45416706962875-13.0478450474685j</v>
      </c>
      <c r="BE122" s="159">
        <f t="shared" si="40"/>
        <v>22.789498226760333</v>
      </c>
      <c r="BF122" s="159">
        <f t="shared" si="41"/>
        <v>108.84846045574469</v>
      </c>
      <c r="BH122" s="159">
        <f t="shared" si="49"/>
        <v>-21.789498226760333</v>
      </c>
      <c r="BI122" s="169">
        <f t="shared" si="50"/>
        <v>-108.84846045574469</v>
      </c>
      <c r="BN122" s="165"/>
      <c r="BO122" s="165"/>
      <c r="BP122" s="165"/>
    </row>
    <row r="123" spans="1:68" s="159" customFormat="1">
      <c r="A123" s="159">
        <v>59</v>
      </c>
      <c r="B123" s="159">
        <f t="shared" si="42"/>
        <v>1513.5612484362086</v>
      </c>
      <c r="C123" s="159" t="str">
        <f t="shared" si="0"/>
        <v>9509.98579769078j</v>
      </c>
      <c r="D123" s="159">
        <f t="shared" si="1"/>
        <v>0.99996334611755566</v>
      </c>
      <c r="E123" s="159" t="str">
        <f t="shared" si="2"/>
        <v>-0.00950998579769078j</v>
      </c>
      <c r="F123" s="159" t="str">
        <f t="shared" si="3"/>
        <v>0.999963346117556-0.00950998579769078j</v>
      </c>
      <c r="G123" s="159">
        <f t="shared" si="4"/>
        <v>7.4408810203432539E-5</v>
      </c>
      <c r="H123" s="159">
        <f t="shared" si="5"/>
        <v>-0.54488559495014655</v>
      </c>
      <c r="J123" s="159">
        <f t="shared" si="6"/>
        <v>6.3936063936063938</v>
      </c>
      <c r="K123" s="159" t="str">
        <f t="shared" si="7"/>
        <v>1+2.33027936993716j</v>
      </c>
      <c r="L123" s="159">
        <f t="shared" si="8"/>
        <v>0.94686691617321661</v>
      </c>
      <c r="M123" s="159" t="str">
        <f t="shared" si="9"/>
        <v>0.0254636282560757j</v>
      </c>
      <c r="N123" s="159" t="str">
        <f t="shared" si="10"/>
        <v>0.946866916173217+0.0254636282560757j</v>
      </c>
      <c r="O123" s="159" t="str">
        <f t="shared" si="11"/>
        <v>1.12148716018352+2.43088252264505j</v>
      </c>
      <c r="P123" s="159" t="str">
        <f t="shared" si="12"/>
        <v>7.17034747769683+15.5421060388894j</v>
      </c>
      <c r="R123" s="159">
        <f t="shared" si="13"/>
        <v>31.968031968031973</v>
      </c>
      <c r="S123" s="159" t="str">
        <f t="shared" si="14"/>
        <v>1+0.000332849502919177j</v>
      </c>
      <c r="T123" s="159" t="str">
        <f t="shared" si="15"/>
        <v>0.946866916173217+0.0254636282560757j</v>
      </c>
      <c r="U123" s="159" t="str">
        <f t="shared" si="16"/>
        <v>1.05536083599901-0.028029774879288j</v>
      </c>
      <c r="V123" s="159" t="str">
        <f t="shared" si="17"/>
        <v>33.7378089430253-0.896056739397818j</v>
      </c>
      <c r="X123" s="159" t="str">
        <f t="shared" si="18"/>
        <v>0.286849679772923+0.606530647317289j</v>
      </c>
      <c r="Y123" s="159">
        <f t="shared" si="19"/>
        <v>-3.4663100923898242</v>
      </c>
      <c r="Z123" s="159">
        <f t="shared" si="20"/>
        <v>-115.31111416346467</v>
      </c>
      <c r="AB123" s="159" t="str">
        <f t="shared" si="21"/>
        <v>14.8591979489211-0.394651724024584j</v>
      </c>
      <c r="AC123" s="159">
        <f t="shared" si="22"/>
        <v>23.442969811217729</v>
      </c>
      <c r="AD123" s="159">
        <f t="shared" si="23"/>
        <v>178.47861481739974</v>
      </c>
      <c r="AF123" s="159" t="str">
        <f t="shared" si="24"/>
        <v>9.32978147385291-4.70408487940693j</v>
      </c>
      <c r="AG123" s="159">
        <f t="shared" si="25"/>
        <v>20.381161869941824</v>
      </c>
      <c r="AH123" s="159">
        <f t="shared" si="26"/>
        <v>153.24271424243091</v>
      </c>
      <c r="AJ123" s="159" t="str">
        <f t="shared" si="27"/>
        <v>156964.386894311-9169.08843598925j</v>
      </c>
      <c r="AK123" s="159" t="str">
        <f t="shared" si="28"/>
        <v>30000-8.55898721792169E-06j</v>
      </c>
      <c r="AL123" s="159" t="str">
        <f t="shared" si="43"/>
        <v>10000-2336725.06930749j</v>
      </c>
      <c r="AM123" s="159" t="str">
        <f t="shared" si="44"/>
        <v>963.130730635274-725193.381310467j</v>
      </c>
      <c r="AN123" s="159" t="str">
        <f t="shared" si="45"/>
        <v>10963.1307306353-725193.381310467j</v>
      </c>
      <c r="AO123" s="159" t="str">
        <f t="shared" si="46"/>
        <v>29930.1213481223-1237.10113876523j</v>
      </c>
      <c r="AP123" s="159" t="str">
        <f t="shared" si="47"/>
        <v>0.160073372174636+0.00785030199017009j</v>
      </c>
      <c r="AQ123" s="159" t="str">
        <f t="shared" si="29"/>
        <v>1+0.950047581189309j</v>
      </c>
      <c r="AR123" s="159">
        <f t="shared" si="51"/>
        <v>-3.5524085063612212E-8</v>
      </c>
      <c r="AS123" s="159" t="str">
        <f t="shared" si="31"/>
        <v>0.0000259146161988494j</v>
      </c>
      <c r="AT123" s="159" t="str">
        <f t="shared" si="32"/>
        <v>-3.55240850636122E-08+0.0000259146161988494j</v>
      </c>
      <c r="AU123" s="159" t="str">
        <f t="shared" si="33"/>
        <v>5.49115783845445-5.79576665174842j</v>
      </c>
      <c r="AW123" s="159" t="str">
        <f t="shared" si="48"/>
        <v>0.918599104305254-0.890715705129024j</v>
      </c>
      <c r="AX123" s="159">
        <f t="shared" si="34"/>
        <v>2.1410141282372077</v>
      </c>
      <c r="AY123" s="159">
        <f t="shared" si="35"/>
        <v>135.88291690553072</v>
      </c>
      <c r="AZ123" s="159" t="str">
        <f t="shared" si="36"/>
        <v>13.2981234379284-13.5978476989265j</v>
      </c>
      <c r="BA123" s="159">
        <f t="shared" si="37"/>
        <v>25.583983939454917</v>
      </c>
      <c r="BB123" s="159">
        <f t="shared" si="38"/>
        <v>134.36153172293038</v>
      </c>
      <c r="BD123" s="159" t="str">
        <f t="shared" si="39"/>
        <v>4.38032662489729-12.6313510409817j</v>
      </c>
      <c r="BE123" s="159">
        <f t="shared" si="40"/>
        <v>22.52217599817903</v>
      </c>
      <c r="BF123" s="159">
        <f t="shared" si="41"/>
        <v>109.12563114796151</v>
      </c>
      <c r="BH123" s="159">
        <f t="shared" si="49"/>
        <v>-21.52217599817903</v>
      </c>
      <c r="BI123" s="169">
        <f t="shared" si="50"/>
        <v>-109.12563114796151</v>
      </c>
      <c r="BN123" s="165"/>
      <c r="BO123" s="165"/>
      <c r="BP123" s="165"/>
    </row>
    <row r="124" spans="1:68" s="159" customFormat="1">
      <c r="A124" s="159">
        <v>60</v>
      </c>
      <c r="B124" s="159">
        <f t="shared" si="42"/>
        <v>1584.8931924611136</v>
      </c>
      <c r="C124" s="159" t="str">
        <f t="shared" si="0"/>
        <v>9958.17762032062j</v>
      </c>
      <c r="D124" s="159">
        <f t="shared" si="1"/>
        <v>0.99995980981709587</v>
      </c>
      <c r="E124" s="159" t="str">
        <f t="shared" si="2"/>
        <v>-0.00995817762032062j</v>
      </c>
      <c r="F124" s="159" t="str">
        <f t="shared" si="3"/>
        <v>0.999959809817096-0.00995817762032062j</v>
      </c>
      <c r="G124" s="159">
        <f t="shared" si="4"/>
        <v>8.1588187783373316E-5</v>
      </c>
      <c r="H124" s="159">
        <f t="shared" si="5"/>
        <v>-0.57056562005946454</v>
      </c>
      <c r="J124" s="159">
        <f t="shared" si="6"/>
        <v>6.3936063936063938</v>
      </c>
      <c r="K124" s="159" t="str">
        <f t="shared" si="7"/>
        <v>1+2.44010205319526j</v>
      </c>
      <c r="L124" s="159">
        <f t="shared" si="8"/>
        <v>0.94174073209008402</v>
      </c>
      <c r="M124" s="159" t="str">
        <f t="shared" si="9"/>
        <v>0.0266636920838923j</v>
      </c>
      <c r="N124" s="159" t="str">
        <f t="shared" si="10"/>
        <v>0.941740732090084+0.0266636920838923j</v>
      </c>
      <c r="O124" s="159" t="str">
        <f t="shared" si="11"/>
        <v>1.13431512874334+2.55893893272297j</v>
      </c>
      <c r="P124" s="159" t="str">
        <f t="shared" si="12"/>
        <v>7.25236445949788+16.3608483211059j</v>
      </c>
      <c r="R124" s="159">
        <f t="shared" si="13"/>
        <v>31.968031968031973</v>
      </c>
      <c r="S124" s="159" t="str">
        <f t="shared" si="14"/>
        <v>1+0.000348536216711222j</v>
      </c>
      <c r="T124" s="159" t="str">
        <f t="shared" si="15"/>
        <v>0.941740732090084+0.0266636920838923j</v>
      </c>
      <c r="U124" s="159" t="str">
        <f t="shared" si="16"/>
        <v>1.06102330623756-0.0296708654117846j</v>
      </c>
      <c r="V124" s="159" t="str">
        <f t="shared" si="17"/>
        <v>33.9188269726293-0.948519174003104j</v>
      </c>
      <c r="X124" s="159" t="str">
        <f t="shared" si="18"/>
        <v>0.290656134117048+0.63846261587872j</v>
      </c>
      <c r="Y124" s="159">
        <f t="shared" si="19"/>
        <v>-3.0793295576602517</v>
      </c>
      <c r="Z124" s="159">
        <f t="shared" si="20"/>
        <v>-114.4771059020425</v>
      </c>
      <c r="AB124" s="159" t="str">
        <f t="shared" si="21"/>
        <v>14.9389240134901-0.417757839243825j</v>
      </c>
      <c r="AC124" s="159">
        <f t="shared" si="22"/>
        <v>23.489781250341309</v>
      </c>
      <c r="AD124" s="159">
        <f t="shared" si="23"/>
        <v>178.39817615770599</v>
      </c>
      <c r="AF124" s="159" t="str">
        <f t="shared" si="24"/>
        <v>9.17046228567938-4.86012890123292j</v>
      </c>
      <c r="AG124" s="159">
        <f t="shared" si="25"/>
        <v>20.322892145011732</v>
      </c>
      <c r="AH124" s="159">
        <f t="shared" si="26"/>
        <v>152.07746441840146</v>
      </c>
      <c r="AJ124" s="159" t="str">
        <f t="shared" si="27"/>
        <v>156912.90453122-9598.06518228334j</v>
      </c>
      <c r="AK124" s="159" t="str">
        <f t="shared" si="28"/>
        <v>30000-8.96235985828857E-06j</v>
      </c>
      <c r="AL124" s="159" t="str">
        <f t="shared" si="43"/>
        <v>10000-2231555.11675908j</v>
      </c>
      <c r="AM124" s="159" t="str">
        <f t="shared" si="44"/>
        <v>963.129921243051-692554.564482799j</v>
      </c>
      <c r="AN124" s="159" t="str">
        <f t="shared" si="45"/>
        <v>10963.1299212431-692554.564482799j</v>
      </c>
      <c r="AO124" s="159" t="str">
        <f t="shared" si="46"/>
        <v>29923.4031447392-1295.00606198659j</v>
      </c>
      <c r="AP124" s="159" t="str">
        <f t="shared" si="47"/>
        <v>0.160080450311724+0.00822020605172771j</v>
      </c>
      <c r="AQ124" s="159" t="str">
        <f t="shared" si="29"/>
        <v>1+0.99482194427003j</v>
      </c>
      <c r="AR124" s="159">
        <f t="shared" si="51"/>
        <v>-4.8599204324504856E-8</v>
      </c>
      <c r="AS124" s="159" t="str">
        <f t="shared" si="31"/>
        <v>0.0000271359344335975j</v>
      </c>
      <c r="AT124" s="159" t="str">
        <f t="shared" si="32"/>
        <v>-4.85992043245049E-08+0.0000271359344335975j</v>
      </c>
      <c r="AU124" s="159" t="str">
        <f t="shared" si="33"/>
        <v>5.4891852412647-5.5375564973752j</v>
      </c>
      <c r="AW124" s="159" t="str">
        <f t="shared" si="48"/>
        <v>0.918364005443421-0.847692018758282j</v>
      </c>
      <c r="AX124" s="159">
        <f t="shared" si="34"/>
        <v>1.9367385755093312</v>
      </c>
      <c r="AY124" s="159">
        <f t="shared" si="35"/>
        <v>137.29157353436716</v>
      </c>
      <c r="AZ124" s="159" t="str">
        <f t="shared" si="36"/>
        <v>13.365240107943-13.0472604176254j</v>
      </c>
      <c r="BA124" s="159">
        <f t="shared" si="37"/>
        <v>25.426519825850665</v>
      </c>
      <c r="BB124" s="159">
        <f t="shared" si="38"/>
        <v>135.68974969207306</v>
      </c>
      <c r="BD124" s="159" t="str">
        <f t="shared" si="39"/>
        <v>4.30192999673274-12.2370951326019j</v>
      </c>
      <c r="BE124" s="159">
        <f t="shared" si="40"/>
        <v>22.259630720521105</v>
      </c>
      <c r="BF124" s="159">
        <f t="shared" si="41"/>
        <v>109.36903795276854</v>
      </c>
      <c r="BH124" s="159">
        <f t="shared" si="49"/>
        <v>-21.259630720521105</v>
      </c>
      <c r="BI124" s="169">
        <f t="shared" si="50"/>
        <v>-109.36903795276854</v>
      </c>
      <c r="BN124" s="165"/>
      <c r="BO124" s="165"/>
      <c r="BP124" s="165"/>
    </row>
    <row r="125" spans="1:68" s="159" customFormat="1">
      <c r="A125" s="159">
        <v>61</v>
      </c>
      <c r="B125" s="159">
        <f t="shared" si="42"/>
        <v>1659.5869074375614</v>
      </c>
      <c r="C125" s="159" t="str">
        <f t="shared" si="0"/>
        <v>10427.4920727993j</v>
      </c>
      <c r="D125" s="159">
        <f t="shared" si="1"/>
        <v>0.99995593234074653</v>
      </c>
      <c r="E125" s="159" t="str">
        <f t="shared" si="2"/>
        <v>-0.0104274920727993j</v>
      </c>
      <c r="F125" s="159" t="str">
        <f t="shared" si="3"/>
        <v>0.999955932340747-0.0104274920727993j</v>
      </c>
      <c r="G125" s="159">
        <f t="shared" si="4"/>
        <v>8.9460329968166276E-5</v>
      </c>
      <c r="H125" s="159">
        <f t="shared" si="5"/>
        <v>-0.59745596052531658</v>
      </c>
      <c r="J125" s="159">
        <f t="shared" si="6"/>
        <v>6.3936063936063938</v>
      </c>
      <c r="K125" s="159" t="str">
        <f t="shared" si="7"/>
        <v>1+2.55510052005838j</v>
      </c>
      <c r="L125" s="159">
        <f t="shared" si="8"/>
        <v>0.93611998301351285</v>
      </c>
      <c r="M125" s="159" t="str">
        <f t="shared" si="9"/>
        <v>0.0279203131774825j</v>
      </c>
      <c r="N125" s="159" t="str">
        <f t="shared" si="10"/>
        <v>0.936119983013513+0.0279203131774825j</v>
      </c>
      <c r="O125" s="159" t="str">
        <f t="shared" si="11"/>
        <v>1.14862501254644+2.69519996983995j</v>
      </c>
      <c r="P125" s="159" t="str">
        <f t="shared" si="12"/>
        <v>7.34385622407314+17.2320477592165j</v>
      </c>
      <c r="R125" s="159">
        <f t="shared" si="13"/>
        <v>31.968031968031973</v>
      </c>
      <c r="S125" s="159" t="str">
        <f t="shared" si="14"/>
        <v>1+0.000364962222547975j</v>
      </c>
      <c r="T125" s="159" t="str">
        <f t="shared" si="15"/>
        <v>0.936119983013513+0.0279203131774825j</v>
      </c>
      <c r="U125" s="159" t="str">
        <f t="shared" si="16"/>
        <v>1.06730132844971-0.0314430048034625j</v>
      </c>
      <c r="V125" s="159" t="str">
        <f t="shared" si="17"/>
        <v>34.1195229874033-1.00517098272807j</v>
      </c>
      <c r="X125" s="159" t="str">
        <f t="shared" si="18"/>
        <v>0.294898281376121+0.672437447204409j</v>
      </c>
      <c r="Y125" s="159">
        <f t="shared" si="19"/>
        <v>-2.6830076824600253</v>
      </c>
      <c r="Z125" s="159">
        <f t="shared" si="20"/>
        <v>-113.67991363321471</v>
      </c>
      <c r="AB125" s="159" t="str">
        <f t="shared" si="21"/>
        <v>15.0273168850048-0.442709087305911j</v>
      </c>
      <c r="AC125" s="159">
        <f t="shared" si="22"/>
        <v>23.541396536108845</v>
      </c>
      <c r="AD125" s="159">
        <f t="shared" si="23"/>
        <v>178.31253789376478</v>
      </c>
      <c r="AF125" s="159" t="str">
        <f t="shared" si="24"/>
        <v>9.0003520654258-5.01574752823017j</v>
      </c>
      <c r="AG125" s="159">
        <f t="shared" si="25"/>
        <v>20.259775210921962</v>
      </c>
      <c r="AH125" s="159">
        <f t="shared" si="26"/>
        <v>150.86979829465417</v>
      </c>
      <c r="AJ125" s="159" t="str">
        <f t="shared" si="27"/>
        <v>156856.494044238-10046.7949176507j</v>
      </c>
      <c r="AK125" s="159" t="str">
        <f t="shared" si="28"/>
        <v>30000-9.38474286551937E-06j</v>
      </c>
      <c r="AL125" s="159" t="str">
        <f t="shared" si="43"/>
        <v>10000-2131118.59180312j</v>
      </c>
      <c r="AM125" s="159" t="str">
        <f t="shared" si="44"/>
        <v>963.12903376369-661384.748738323j</v>
      </c>
      <c r="AN125" s="159" t="str">
        <f t="shared" si="45"/>
        <v>10963.1290337637-661384.748738323j</v>
      </c>
      <c r="AO125" s="159" t="str">
        <f t="shared" si="46"/>
        <v>29916.0415288894-1355.58131060465j</v>
      </c>
      <c r="AP125" s="159" t="str">
        <f t="shared" si="47"/>
        <v>0.160088211197597+0.00860753289298399j</v>
      </c>
      <c r="AQ125" s="159" t="str">
        <f t="shared" si="29"/>
        <v>1+1.04170645807265j</v>
      </c>
      <c r="AR125" s="159">
        <f t="shared" si="51"/>
        <v>-6.293578750604559E-8</v>
      </c>
      <c r="AS125" s="159" t="str">
        <f t="shared" si="31"/>
        <v>0.0000284148116234574j</v>
      </c>
      <c r="AT125" s="159" t="str">
        <f t="shared" si="32"/>
        <v>-6.29357875060456E-08+0.0000284148116234574j</v>
      </c>
      <c r="AU125" s="159" t="str">
        <f t="shared" si="33"/>
        <v>5.48738354492835-5.29109095626143j</v>
      </c>
      <c r="AW125" s="159" t="str">
        <f t="shared" si="48"/>
        <v>0.918164006134968-0.806466434728871j</v>
      </c>
      <c r="AX125" s="159">
        <f t="shared" si="34"/>
        <v>1.7418000092603749</v>
      </c>
      <c r="AY125" s="159">
        <f t="shared" si="35"/>
        <v>138.70564813595988</v>
      </c>
      <c r="AZ125" s="159" t="str">
        <f t="shared" si="36"/>
        <v>13.4405114533339-12.5255062209439j</v>
      </c>
      <c r="BA125" s="159">
        <f t="shared" si="37"/>
        <v>25.283196545369183</v>
      </c>
      <c r="BB125" s="159">
        <f t="shared" si="38"/>
        <v>137.01818602972457</v>
      </c>
      <c r="BD125" s="159" t="str">
        <f t="shared" si="39"/>
        <v>4.21876728242451-11.8637606857899j</v>
      </c>
      <c r="BE125" s="159">
        <f t="shared" si="40"/>
        <v>22.001575220182289</v>
      </c>
      <c r="BF125" s="159">
        <f t="shared" si="41"/>
        <v>109.57544643061397</v>
      </c>
      <c r="BH125" s="159">
        <f t="shared" si="49"/>
        <v>-21.001575220182289</v>
      </c>
      <c r="BI125" s="169">
        <f t="shared" si="50"/>
        <v>-109.57544643061397</v>
      </c>
      <c r="BN125" s="165"/>
      <c r="BO125" s="165"/>
      <c r="BP125" s="165"/>
    </row>
    <row r="126" spans="1:68" s="159" customFormat="1">
      <c r="A126" s="159">
        <v>62</v>
      </c>
      <c r="B126" s="159">
        <f t="shared" si="42"/>
        <v>1737.8008287493756</v>
      </c>
      <c r="C126" s="159" t="str">
        <f t="shared" si="0"/>
        <v>10918.9246340026j</v>
      </c>
      <c r="D126" s="159">
        <f t="shared" si="1"/>
        <v>0.99995168077247354</v>
      </c>
      <c r="E126" s="159" t="str">
        <f t="shared" si="2"/>
        <v>-0.0109189246340026j</v>
      </c>
      <c r="F126" s="159" t="str">
        <f t="shared" si="3"/>
        <v>0.999951680772474-0.0109189246340026j</v>
      </c>
      <c r="G126" s="159">
        <f t="shared" si="4"/>
        <v>9.8092095922437482E-5</v>
      </c>
      <c r="H126" s="159">
        <f t="shared" si="5"/>
        <v>-0.62561366461294465</v>
      </c>
      <c r="J126" s="159">
        <f t="shared" si="6"/>
        <v>6.3936063936063938</v>
      </c>
      <c r="K126" s="159" t="str">
        <f t="shared" si="7"/>
        <v>1+2.67551869769283j</v>
      </c>
      <c r="L126" s="159">
        <f t="shared" si="8"/>
        <v>0.92995695420506019</v>
      </c>
      <c r="M126" s="159" t="str">
        <f t="shared" si="9"/>
        <v>0.0292361569986636j</v>
      </c>
      <c r="N126" s="159" t="str">
        <f t="shared" si="10"/>
        <v>0.92995695420506+0.0292361569986636j</v>
      </c>
      <c r="O126" s="159" t="str">
        <f t="shared" si="11"/>
        <v>1.16461628262145+2.84042157141443j</v>
      </c>
      <c r="P126" s="159" t="str">
        <f t="shared" si="12"/>
        <v>7.44609811066661+18.1605375195328j</v>
      </c>
      <c r="R126" s="159">
        <f t="shared" si="13"/>
        <v>31.968031968031973</v>
      </c>
      <c r="S126" s="159" t="str">
        <f t="shared" si="14"/>
        <v>1+0.000382162362190091j</v>
      </c>
      <c r="T126" s="159" t="str">
        <f t="shared" si="15"/>
        <v>0.92995695420506+0.0292361569986636j</v>
      </c>
      <c r="U126" s="159" t="str">
        <f t="shared" si="16"/>
        <v>1.07426974403845-0.03336214261654j</v>
      </c>
      <c r="V126" s="159" t="str">
        <f t="shared" si="17"/>
        <v>34.3422895197107-1.06652204168759j</v>
      </c>
      <c r="X126" s="159" t="str">
        <f t="shared" si="18"/>
        <v>0.299633928944614+0.708642915778356j</v>
      </c>
      <c r="Y126" s="159">
        <f t="shared" si="19"/>
        <v>-2.2771110615605967</v>
      </c>
      <c r="Z126" s="159">
        <f t="shared" si="20"/>
        <v>-112.91999294424787</v>
      </c>
      <c r="AB126" s="159" t="str">
        <f t="shared" si="21"/>
        <v>15.1254303103769-0.46973003377564j</v>
      </c>
      <c r="AC126" s="159">
        <f t="shared" si="22"/>
        <v>23.5983413276048</v>
      </c>
      <c r="AD126" s="159">
        <f t="shared" si="23"/>
        <v>178.22121416642278</v>
      </c>
      <c r="AF126" s="159" t="str">
        <f t="shared" si="24"/>
        <v>8.8191162661794-5.17017457730261j</v>
      </c>
      <c r="AG126" s="159">
        <f t="shared" si="25"/>
        <v>20.191475289201641</v>
      </c>
      <c r="AH126" s="159">
        <f t="shared" si="26"/>
        <v>149.61919232960798</v>
      </c>
      <c r="AJ126" s="159" t="str">
        <f t="shared" si="27"/>
        <v>156794.687774619-10516.1404594205j</v>
      </c>
      <c r="AK126" s="159" t="str">
        <f t="shared" si="28"/>
        <v>30000-9.82703217060234E-06j</v>
      </c>
      <c r="AL126" s="159" t="str">
        <f t="shared" si="43"/>
        <v>10000-2035202.45510442j</v>
      </c>
      <c r="AM126" s="159" t="str">
        <f t="shared" si="44"/>
        <v>963.128060663804-631617.818718764j</v>
      </c>
      <c r="AN126" s="159" t="str">
        <f t="shared" si="45"/>
        <v>10963.1280606638-631617.818718764j</v>
      </c>
      <c r="AO126" s="159" t="str">
        <f t="shared" si="46"/>
        <v>29907.9753797983-1418.94411989347j</v>
      </c>
      <c r="AP126" s="159" t="str">
        <f t="shared" si="47"/>
        <v>0.160096720674895+0.00901310210431372j</v>
      </c>
      <c r="AQ126" s="159" t="str">
        <f t="shared" si="29"/>
        <v>1+1.09080057093686j</v>
      </c>
      <c r="AR126" s="159">
        <f t="shared" si="51"/>
        <v>-7.8655538371798976E-8</v>
      </c>
      <c r="AS126" s="159" t="str">
        <f t="shared" si="31"/>
        <v>0.0000297539604384107j</v>
      </c>
      <c r="AT126" s="159" t="str">
        <f t="shared" si="32"/>
        <v>-7.8655538371799E-08+0.0000297539604384107j</v>
      </c>
      <c r="AU126" s="159" t="str">
        <f t="shared" si="33"/>
        <v>5.48573745599098-5.05584740372137j</v>
      </c>
      <c r="AW126" s="159" t="str">
        <f t="shared" si="48"/>
        <v>0.917997407838124-0.766951569433145j</v>
      </c>
      <c r="AX126" s="159">
        <f t="shared" si="34"/>
        <v>1.5561958796750652</v>
      </c>
      <c r="AY126" s="159">
        <f t="shared" si="35"/>
        <v>140.12253969386683</v>
      </c>
      <c r="AZ126" s="159" t="str">
        <f t="shared" si="36"/>
        <v>13.5248456307481-12.031683468285j</v>
      </c>
      <c r="BA126" s="159">
        <f t="shared" si="37"/>
        <v>25.15453720727988</v>
      </c>
      <c r="BB126" s="159">
        <f t="shared" si="38"/>
        <v>138.34375386028961</v>
      </c>
      <c r="BD126" s="159" t="str">
        <f t="shared" si="39"/>
        <v>4.13065236547014-11.5100419213941j</v>
      </c>
      <c r="BE126" s="159">
        <f t="shared" si="40"/>
        <v>21.747671168876753</v>
      </c>
      <c r="BF126" s="159">
        <f t="shared" si="41"/>
        <v>109.74173202347471</v>
      </c>
      <c r="BH126" s="159">
        <f t="shared" si="49"/>
        <v>-20.747671168876753</v>
      </c>
      <c r="BI126" s="169">
        <f t="shared" si="50"/>
        <v>-109.74173202347471</v>
      </c>
      <c r="BN126" s="165"/>
      <c r="BO126" s="165"/>
      <c r="BP126" s="165"/>
    </row>
    <row r="127" spans="1:68" s="159" customFormat="1">
      <c r="A127" s="159">
        <v>63</v>
      </c>
      <c r="B127" s="159">
        <f t="shared" si="42"/>
        <v>1819.7008586099842</v>
      </c>
      <c r="C127" s="159" t="str">
        <f t="shared" si="0"/>
        <v>11433.5176982803j</v>
      </c>
      <c r="D127" s="159">
        <f t="shared" si="1"/>
        <v>0.99994701902056282</v>
      </c>
      <c r="E127" s="159" t="str">
        <f t="shared" si="2"/>
        <v>-0.0114335176982803j</v>
      </c>
      <c r="F127" s="159" t="str">
        <f t="shared" si="3"/>
        <v>0.999947019020563-0.0114335176982803j</v>
      </c>
      <c r="G127" s="159">
        <f t="shared" si="4"/>
        <v>1.0755679981484628E-4</v>
      </c>
      <c r="H127" s="159">
        <f t="shared" si="5"/>
        <v>-0.65509847035366875</v>
      </c>
      <c r="J127" s="159">
        <f t="shared" si="6"/>
        <v>6.3936063936063938</v>
      </c>
      <c r="K127" s="159" t="str">
        <f t="shared" si="7"/>
        <v>1+2.80161200919811j</v>
      </c>
      <c r="L127" s="159">
        <f t="shared" si="8"/>
        <v>0.92319932749439049</v>
      </c>
      <c r="M127" s="159" t="str">
        <f t="shared" si="9"/>
        <v>0.0306140146285987j</v>
      </c>
      <c r="N127" s="159" t="str">
        <f t="shared" si="10"/>
        <v>0.92319932749439+0.0306140146285987j</v>
      </c>
      <c r="O127" s="159" t="str">
        <f t="shared" si="11"/>
        <v>1.18252163286126+2.99546391799973j</v>
      </c>
      <c r="P127" s="159" t="str">
        <f t="shared" si="12"/>
        <v>7.56057787243962+19.1518172579403j</v>
      </c>
      <c r="R127" s="159">
        <f t="shared" si="13"/>
        <v>31.968031968031973</v>
      </c>
      <c r="S127" s="159" t="str">
        <f t="shared" si="14"/>
        <v>1+0.00040017311943981j</v>
      </c>
      <c r="T127" s="159" t="str">
        <f t="shared" si="15"/>
        <v>0.92319932749439+0.0306140146285987j</v>
      </c>
      <c r="U127" s="159" t="str">
        <f t="shared" si="16"/>
        <v>1.08201424754838-0.03544697868463j</v>
      </c>
      <c r="V127" s="159" t="str">
        <f t="shared" si="17"/>
        <v>34.5898660554927-1.1331701477604j</v>
      </c>
      <c r="X127" s="159" t="str">
        <f t="shared" si="18"/>
        <v>0.304930343668823+0.747292628572618j</v>
      </c>
      <c r="Y127" s="159">
        <f t="shared" si="19"/>
        <v>-1.8613305349334963</v>
      </c>
      <c r="Z127" s="159">
        <f t="shared" si="20"/>
        <v>-112.19775681813685</v>
      </c>
      <c r="AB127" s="159" t="str">
        <f t="shared" si="21"/>
        <v>15.2344708458457-0.499083967302533j</v>
      </c>
      <c r="AC127" s="159">
        <f t="shared" si="22"/>
        <v>23.661205956629278</v>
      </c>
      <c r="AD127" s="159">
        <f t="shared" si="23"/>
        <v>178.12365115844412</v>
      </c>
      <c r="AF127" s="159" t="str">
        <f t="shared" si="24"/>
        <v>8.62647693992798-5.32257267888708j</v>
      </c>
      <c r="AG127" s="159">
        <f t="shared" si="25"/>
        <v>20.117644344006397</v>
      </c>
      <c r="AH127" s="159">
        <f t="shared" si="26"/>
        <v>148.32523905230212</v>
      </c>
      <c r="AJ127" s="159" t="str">
        <f t="shared" si="27"/>
        <v>156726.974505999-11006.9953616194j</v>
      </c>
      <c r="AK127" s="159" t="str">
        <f t="shared" si="28"/>
        <v>30000-0.0000102901659284523j</v>
      </c>
      <c r="AL127" s="159" t="str">
        <f t="shared" si="43"/>
        <v>10000-1943603.25567735j</v>
      </c>
      <c r="AM127" s="159" t="str">
        <f t="shared" si="44"/>
        <v>963.126993683256-603190.634774549j</v>
      </c>
      <c r="AN127" s="159" t="str">
        <f t="shared" si="45"/>
        <v>10963.1269936833-603190.634774549j</v>
      </c>
      <c r="AO127" s="159" t="str">
        <f t="shared" si="46"/>
        <v>29899.1378710992-1485.21599366587j</v>
      </c>
      <c r="AP127" s="159" t="str">
        <f t="shared" si="47"/>
        <v>0.160106050933035+0.00943777167710631j</v>
      </c>
      <c r="AQ127" s="159" t="str">
        <f t="shared" si="29"/>
        <v>1+1.1422084180582j</v>
      </c>
      <c r="AR127" s="159">
        <f t="shared" si="51"/>
        <v>-9.589190244489819E-8</v>
      </c>
      <c r="AS127" s="159" t="str">
        <f t="shared" si="31"/>
        <v>0.0000311562213926368j</v>
      </c>
      <c r="AT127" s="159" t="str">
        <f t="shared" si="32"/>
        <v>-9.58919024448982E-08+0.0000311562213926368j</v>
      </c>
      <c r="AU127" s="159" t="str">
        <f t="shared" si="33"/>
        <v>5.48423300176074-4.83132699691125j</v>
      </c>
      <c r="AW127" s="159" t="str">
        <f t="shared" si="48"/>
        <v>0.917862795333591-0.729063669744771j</v>
      </c>
      <c r="AX127" s="159">
        <f t="shared" si="34"/>
        <v>1.3798861200692571</v>
      </c>
      <c r="AY127" s="159">
        <f t="shared" si="35"/>
        <v>141.53968295483895</v>
      </c>
      <c r="AZ127" s="159" t="str">
        <f t="shared" si="36"/>
        <v>13.6192900072837-11.5649898268265j</v>
      </c>
      <c r="BA127" s="159">
        <f t="shared" si="37"/>
        <v>25.041092076698558</v>
      </c>
      <c r="BB127" s="159">
        <f t="shared" si="38"/>
        <v>139.66333411328307</v>
      </c>
      <c r="BD127" s="159" t="str">
        <f t="shared" si="39"/>
        <v>4.0374278682104-11.1746423722021j</v>
      </c>
      <c r="BE127" s="159">
        <f t="shared" si="40"/>
        <v>21.497530464075709</v>
      </c>
      <c r="BF127" s="159">
        <f t="shared" si="41"/>
        <v>109.86492200714102</v>
      </c>
      <c r="BH127" s="159">
        <f t="shared" si="49"/>
        <v>-20.497530464075709</v>
      </c>
      <c r="BI127" s="169">
        <f t="shared" si="50"/>
        <v>-109.86492200714102</v>
      </c>
      <c r="BN127" s="165"/>
      <c r="BO127" s="165"/>
      <c r="BP127" s="165"/>
    </row>
    <row r="128" spans="1:68" s="159" customFormat="1">
      <c r="A128" s="159">
        <v>64</v>
      </c>
      <c r="B128" s="159">
        <f t="shared" ref="B128:B191" si="52">Fstart*10^(Step*A128)</f>
        <v>1905.4607179632476</v>
      </c>
      <c r="C128" s="159" t="str">
        <f t="shared" ref="C128:C191" si="53">COMPLEX(0,2*PI()*B128,"j")</f>
        <v>11972.3627865145j</v>
      </c>
      <c r="D128" s="159">
        <f t="shared" ref="D128:D191" si="54">(IMPRODUCT(C128,C128))/wn^2 + 1</f>
        <v>0.99994190751123679</v>
      </c>
      <c r="E128" s="159" t="str">
        <f t="shared" ref="E128:E191" si="55">IMDIV(C128,wn*Qn)</f>
        <v>-0.0119723627865145j</v>
      </c>
      <c r="F128" s="159" t="str">
        <f t="shared" ref="F128:F191" si="56">IMSUM(D128,E128)</f>
        <v>0.999941907511237-0.0119723627865145j</v>
      </c>
      <c r="G128" s="159">
        <f t="shared" ref="G128:G191" si="57">20*LOG(IMABS(F128),10)</f>
        <v>1.1793483451227951E-4</v>
      </c>
      <c r="H128" s="159">
        <f t="shared" ref="H128:H191" si="58">(IMARGUMENT(F128)*(180/PI()))</f>
        <v>-0.68597293248206792</v>
      </c>
      <c r="J128" s="159">
        <f t="shared" ref="J128:J191" si="59">Vin/(Rout+DCR/1000)</f>
        <v>6.3936063936063938</v>
      </c>
      <c r="K128" s="159" t="str">
        <f t="shared" ref="K128:K191" si="60">IMSUM(1,IMPRODUCT(C128,ncap*(Cap*10^-6)*(Rout+(ESR/(ncap*1000)))))</f>
        <v>1+2.93364791539358j</v>
      </c>
      <c r="L128" s="159">
        <f t="shared" ref="L128:L191" si="61">(IMPRODUCT(C128,C128))/Gdo^2 + 1</f>
        <v>0.91578973714846623</v>
      </c>
      <c r="M128" s="159" t="str">
        <f t="shared" ref="M128:M191" si="62">IMDIV(C128,Q*Gdo)</f>
        <v>0.0320568086880535j</v>
      </c>
      <c r="N128" s="159" t="str">
        <f t="shared" ref="N128:N191" si="63">IMSUM(L128,M128)</f>
        <v>0.915789737148466+0.0320568086880535j</v>
      </c>
      <c r="O128" s="159" t="str">
        <f t="shared" ref="O128:O191" si="64">IMDIV(K128,N128)</f>
        <v>1.20261397298989+3.16131075933483j</v>
      </c>
      <c r="P128" s="159" t="str">
        <f t="shared" ref="P128:P191" si="65">IMPRODUCT(J128,O128)</f>
        <v>7.68904038674855+20.2121766830599j</v>
      </c>
      <c r="R128" s="159">
        <f t="shared" ref="R128:R191" si="66">Vin/(1+((DCR*10^-3)/Rout))</f>
        <v>31.968031968031973</v>
      </c>
      <c r="S128" s="159" t="str">
        <f t="shared" ref="S128:S191" si="67">IMSUM(1,IMPRODUCT(C128,ncap*(Cap*10^-6)*(ESR/(ncap*1000))))</f>
        <v>1+0.000419032697528007j</v>
      </c>
      <c r="T128" s="159" t="str">
        <f t="shared" ref="T128:T191" si="68">IMSUM(L128,M128)</f>
        <v>0.915789737148466+0.0320568086880535j</v>
      </c>
      <c r="U128" s="159" t="str">
        <f t="shared" ref="U128:U191" si="69">IMDIV(S128,T128)</f>
        <v>1.09063335234362-0.0377195666495681j</v>
      </c>
      <c r="V128" s="159" t="str">
        <f t="shared" ref="V128:V191" si="70">IMPRODUCT(R128,U128)</f>
        <v>34.8654018731227-1.20582031247371j</v>
      </c>
      <c r="X128" s="159" t="str">
        <f t="shared" ref="X128:X191" si="71">IMPRODUCT(Fm,Dmax,P128,F128)</f>
        <v>0.310866209586338+0.788630804162795j</v>
      </c>
      <c r="Y128" s="159">
        <f t="shared" ref="Y128:Y191" si="72">20*LOG(IMABS(X128),10)</f>
        <v>-1.4352708322352448</v>
      </c>
      <c r="Z128" s="159">
        <f t="shared" ref="Z128:Z191" si="73">IF((IMARGUMENT(X128)*(180/PI()))&lt;0,(IMARGUMENT(X128)*(180/PI()))+180,(IMARGUMENT(X128)*(180/PI()))-180)</f>
        <v>-111.51360095063225</v>
      </c>
      <c r="AB128" s="159" t="str">
        <f t="shared" ref="AB128:AB191" si="74">IMPRODUCT(Fm,V128)</f>
        <v>15.3558255331965-0.531081397257745j</v>
      </c>
      <c r="AC128" s="159">
        <f t="shared" ref="AC128:AC191" si="75">20*LOG(IMABS(AB128),10)</f>
        <v>23.730654975728847</v>
      </c>
      <c r="AD128" s="159">
        <f t="shared" ref="AD128:AD191" si="76">IF((IMARGUMENT(AB128)*(180/PI()))&lt;0,(IMARGUMENT(AB128)*(180/PI()))+180,(IMARGUMENT(AB128)*(180/PI()))-180)</f>
        <v>178.01921432946963</v>
      </c>
      <c r="AF128" s="159" t="str">
        <f t="shared" ref="AF128:AF191" si="77">IMDIV(AB128,IMSUM(1,X128))</f>
        <v>8.42222443448397-5.47203595104335j</v>
      </c>
      <c r="AG128" s="159">
        <f t="shared" ref="AG128:AG191" si="78">20*LOG(IMABS(AF128),10)</f>
        <v>20.037923384689556</v>
      </c>
      <c r="AH128" s="159">
        <f t="shared" ref="AH128:AH191" si="79">IF((IMARGUMENT(AF128)*(180/PI()))&lt;0,(IMARGUMENT(AF128)*(180/PI()))+180,(IMARGUMENT(AF128)*(180/PI()))-180)</f>
        <v>146.98765914456382</v>
      </c>
      <c r="AJ128" s="159" t="str">
        <f t="shared" ref="AJ128:AJ191" si="80">IMDIV(_Rfb1,IMSUM(1,IMPRODUCT(C128,_Cfb1*_Rfb1)))</f>
        <v>156652.795572799-11520.2839349825j</v>
      </c>
      <c r="AK128" s="159" t="str">
        <f t="shared" ref="AK128:AK191" si="81">IMDIV(_Rfb2,IMSUM(1,IMPRODUCT(C128,_Cfb2*_Rfb2)))</f>
        <v>30000-0.000010775126507863j</v>
      </c>
      <c r="AL128" s="159" t="str">
        <f t="shared" si="43"/>
        <v>10000-1856126.699339j</v>
      </c>
      <c r="AM128" s="159" t="str">
        <f t="shared" si="44"/>
        <v>963.125823765061-576042.899037136j</v>
      </c>
      <c r="AN128" s="159" t="str">
        <f t="shared" si="45"/>
        <v>10963.1258237651-576042.899037136j</v>
      </c>
      <c r="AO128" s="159" t="str">
        <f t="shared" si="46"/>
        <v>29889.4559584701-1554.52272427058j</v>
      </c>
      <c r="AP128" s="159" t="str">
        <f t="shared" si="47"/>
        <v>0.160116281119393+0.00988243978022606j</v>
      </c>
      <c r="AQ128" s="159" t="str">
        <f t="shared" ref="AQ128:AQ191" si="82">IMSUM(1,IMPRODUCT(C128,_res1*_Cap1))</f>
        <v>1+1.1960390423728j</v>
      </c>
      <c r="AR128" s="159">
        <f t="shared" ref="AR128:AR191" si="83">(IMPRODUCT(C128,C128))*_res1*_Cap1*_cap2 + (1/Roerr)</f>
        <v>-1.1479119983183765E-7</v>
      </c>
      <c r="AS128" s="159" t="str">
        <f t="shared" ref="AS128:AS191" si="84">IMPRODUCT(C128,(_Cap1+_cap2+(_Cap1*_res1/Roerr)))</f>
        <v>0.0000326245688696241j</v>
      </c>
      <c r="AT128" s="159" t="str">
        <f t="shared" ref="AT128:AT191" si="85">IMSUM(AR128,AS128)</f>
        <v>-1.14791199831838E-07+0.0000326245688696241j</v>
      </c>
      <c r="AU128" s="159" t="str">
        <f t="shared" ref="AU128:AU191" si="86">IMPRODUCT(EA_BW,IMDIV(AQ128,AT128))</f>
        <v>5.48285741172837-4.61705361939805j</v>
      </c>
      <c r="AW128" s="159" t="str">
        <f t="shared" si="48"/>
        <v>0.917759024678003-0.692722436574058j</v>
      </c>
      <c r="AX128" s="159">
        <f t="shared" ref="AX128:AX191" si="87">20*LOG(IMABS(AW128),10)</f>
        <v>1.2127941592834794</v>
      </c>
      <c r="AY128" s="159">
        <f t="shared" ref="AY128:AY191" si="88">IF((IMARGUMENT(AW128)*(180/PI()))&lt;0,(IMARGUMENT(AW128)*(180/PI()))+180,(IMARGUMENT(AW128)*(180/PI()))-180)</f>
        <v>142.95457740609049</v>
      </c>
      <c r="AZ128" s="159" t="str">
        <f t="shared" ref="AZ128:AZ191" si="89">IMPRODUCT(AW128,Fm,V128)</f>
        <v>13.7250554649445-11.1247296241339j</v>
      </c>
      <c r="BA128" s="159">
        <f t="shared" ref="BA128:BA191" si="90">20*LOG(IMABS(AZ128),10)</f>
        <v>24.94344913501234</v>
      </c>
      <c r="BB128" s="159">
        <f t="shared" ref="BB128:BB191" si="91">IF((IMARGUMENT(AZ128)*(180/PI()))&lt;0,(IMARGUMENT(AZ128)*(180/PI()))+180,(IMARGUMENT(AZ128)*(180/PI()))-180)</f>
        <v>140.97379173556027</v>
      </c>
      <c r="BD128" s="159" t="str">
        <f t="shared" ref="BD128:BD191" si="92">IMDIV(AZ128,IMSUM(1,X128))</f>
        <v>3.93897040558369-10.8562742090618j</v>
      </c>
      <c r="BE128" s="159">
        <f t="shared" ref="BE128:BE191" si="93">20*LOG(IMABS(BD128),10)</f>
        <v>21.250717543973032</v>
      </c>
      <c r="BF128" s="159">
        <f t="shared" ref="BF128:BF191" si="94">IF((IMARGUMENT(BD128)*(180/PI()))&lt;0,(IMARGUMENT(BD128)*(180/PI()))+180,(IMARGUMENT(BD128)*(180/PI()))-180)</f>
        <v>109.94223655065447</v>
      </c>
      <c r="BH128" s="159">
        <f t="shared" si="49"/>
        <v>-20.250717543973032</v>
      </c>
      <c r="BI128" s="169">
        <f t="shared" si="50"/>
        <v>-109.94223655065447</v>
      </c>
      <c r="BN128" s="165"/>
      <c r="BO128" s="165"/>
      <c r="BP128" s="165"/>
    </row>
    <row r="129" spans="1:68" s="159" customFormat="1">
      <c r="A129" s="159">
        <v>65</v>
      </c>
      <c r="B129" s="159">
        <f t="shared" si="52"/>
        <v>1995.2623149688804</v>
      </c>
      <c r="C129" s="159" t="str">
        <f t="shared" si="53"/>
        <v>12536.6028613816j</v>
      </c>
      <c r="D129" s="159">
        <f t="shared" si="54"/>
        <v>0.9999363028527114</v>
      </c>
      <c r="E129" s="159" t="str">
        <f t="shared" si="55"/>
        <v>-0.0125366028613816j</v>
      </c>
      <c r="F129" s="159" t="str">
        <f t="shared" si="56"/>
        <v>0.999936302852711-0.0125366028613816j</v>
      </c>
      <c r="G129" s="159">
        <f t="shared" si="57"/>
        <v>1.2931435559786314E-4</v>
      </c>
      <c r="H129" s="159">
        <f t="shared" si="58"/>
        <v>-0.71830255538103116</v>
      </c>
      <c r="J129" s="159">
        <f t="shared" si="59"/>
        <v>6.3936063936063938</v>
      </c>
      <c r="K129" s="159" t="str">
        <f t="shared" si="60"/>
        <v>1+3.07190648213864j</v>
      </c>
      <c r="L129" s="159">
        <f t="shared" si="61"/>
        <v>0.90766528289180604</v>
      </c>
      <c r="M129" s="159" t="str">
        <f t="shared" si="62"/>
        <v>0.0335675995366671j</v>
      </c>
      <c r="N129" s="159" t="str">
        <f t="shared" si="63"/>
        <v>0.907665282891806+0.0335675995366671j</v>
      </c>
      <c r="O129" s="159" t="str">
        <f t="shared" si="64"/>
        <v>1.22521524545738+3.33909317075222j</v>
      </c>
      <c r="P129" s="159" t="str">
        <f t="shared" si="65"/>
        <v>7.83354402690033+21.3488474453688j</v>
      </c>
      <c r="R129" s="159">
        <f t="shared" si="66"/>
        <v>31.968031968031973</v>
      </c>
      <c r="S129" s="159" t="str">
        <f t="shared" si="67"/>
        <v>1+0.000438781100148356j</v>
      </c>
      <c r="T129" s="159" t="str">
        <f t="shared" si="68"/>
        <v>0.907665282891806+0.0335675995366671j</v>
      </c>
      <c r="U129" s="159" t="str">
        <f t="shared" si="69"/>
        <v>1.10024080163088-0.0402060783977884j</v>
      </c>
      <c r="V129" s="159" t="str">
        <f t="shared" si="70"/>
        <v>35.1725331190691-1.2853091995297j</v>
      </c>
      <c r="X129" s="159" t="str">
        <f t="shared" si="71"/>
        <v>0.317534089243448+0.832938145045644j</v>
      </c>
      <c r="Y129" s="159">
        <f t="shared" si="72"/>
        <v>-0.99843868814568504</v>
      </c>
      <c r="Z129" s="159">
        <f t="shared" si="73"/>
        <v>-110.86793169996108</v>
      </c>
      <c r="AB129" s="159" t="str">
        <f t="shared" si="74"/>
        <v>15.4910958463198-0.566090816793526j</v>
      </c>
      <c r="AC129" s="159">
        <f t="shared" si="75"/>
        <v>23.807438474008915</v>
      </c>
      <c r="AD129" s="159">
        <f t="shared" si="76"/>
        <v>177.90717268242744</v>
      </c>
      <c r="AF129" s="159" t="str">
        <f t="shared" si="77"/>
        <v>8.20622944810379-5.61759457424439j</v>
      </c>
      <c r="AG129" s="159">
        <f t="shared" si="78"/>
        <v>19.951944057955714</v>
      </c>
      <c r="AH129" s="159">
        <f t="shared" si="79"/>
        <v>145.60631301426238</v>
      </c>
      <c r="AJ129" s="159" t="str">
        <f t="shared" si="80"/>
        <v>156571.540654432-12056.9610669782j</v>
      </c>
      <c r="AK129" s="159" t="str">
        <f t="shared" si="81"/>
        <v>30000-0.0000112829425752434j</v>
      </c>
      <c r="AL129" s="159" t="str">
        <f t="shared" ref="AL129:AL192" si="95">IMDIV(IMSUM(1,IMPRODUCT(C129,10000,0.000000000045)),IMPRODUCT(C129,0.000000000045))</f>
        <v>10000-1772587.23658518j</v>
      </c>
      <c r="AM129" s="159" t="str">
        <f t="shared" ref="AM129:AM192" si="96">IMDIV(AL129,IMSUM(1,IMPRODUCT(C129,AL129,0.0000000001)))</f>
        <v>963.124540978539-550117.027519154j</v>
      </c>
      <c r="AN129" s="159" t="str">
        <f t="shared" ref="AN129:AN192" si="97">IMSUM(10000,AM129)</f>
        <v>10963.1245409785-550117.027519154j</v>
      </c>
      <c r="AO129" s="159" t="str">
        <f t="shared" ref="AO129:AO192" si="98">IMDIV(IMPRODUCT(AN129,AK129),IMSUM(AN129,AK129))</f>
        <v>29878.8498253624-1626.99438796335j</v>
      </c>
      <c r="AP129" s="159" t="str">
        <f t="shared" ref="AP129:AP192" si="99">IMDIV(AK129,IMSUM(AJ129,AK129))</f>
        <v>0.160127498009242+0.0103480466152647j</v>
      </c>
      <c r="AQ129" s="159" t="str">
        <f t="shared" si="82"/>
        <v>1+1.25240662585202j</v>
      </c>
      <c r="AR129" s="159">
        <f t="shared" si="83"/>
        <v>-1.355138673390455E-7</v>
      </c>
      <c r="AS129" s="159" t="str">
        <f t="shared" si="84"/>
        <v>0.0000341621174312362j</v>
      </c>
      <c r="AT129" s="159" t="str">
        <f t="shared" si="85"/>
        <v>-1.35513867339046E-07+0.0000341621174312362j</v>
      </c>
      <c r="AU129" s="159" t="str">
        <f t="shared" si="86"/>
        <v>5.48159900918686-4.41257287357443j</v>
      </c>
      <c r="AW129" s="159" t="str">
        <f t="shared" ref="AW129:AW192" si="100">IMDIV(IMPRODUCT(AP129,AU129),IMPRODUCT(IMSUM(1,IMPRODUCT(C129,1/1500000)),IMSUM(1,IMPRODUCT(C129,1/35000000))))</f>
        <v>0.917685213451749-0.657850855807396j</v>
      </c>
      <c r="AX129" s="159">
        <f t="shared" si="87"/>
        <v>1.0548085594978664</v>
      </c>
      <c r="AY129" s="159">
        <f t="shared" si="88"/>
        <v>144.36481484871265</v>
      </c>
      <c r="AZ129" s="159" t="str">
        <f t="shared" si="89"/>
        <v>13.8435462700392-10.7103238319381j</v>
      </c>
      <c r="BA129" s="159">
        <f t="shared" si="90"/>
        <v>24.862247033506794</v>
      </c>
      <c r="BB129" s="159">
        <f t="shared" si="91"/>
        <v>142.27198753114021</v>
      </c>
      <c r="BD129" s="159" t="str">
        <f t="shared" si="92"/>
        <v>3.83519602447152-10.5536585413378j</v>
      </c>
      <c r="BE129" s="159">
        <f t="shared" si="93"/>
        <v>21.0067526174536</v>
      </c>
      <c r="BF129" s="159">
        <f t="shared" si="94"/>
        <v>109.97112786297511</v>
      </c>
      <c r="BH129" s="159">
        <f t="shared" ref="BH129:BH192" si="101">1-BE129</f>
        <v>-20.0067526174536</v>
      </c>
      <c r="BI129" s="169">
        <f t="shared" ref="BI129:BI192" si="102">+-1*BF129</f>
        <v>-109.97112786297511</v>
      </c>
      <c r="BN129" s="165"/>
      <c r="BO129" s="165"/>
      <c r="BP129" s="165"/>
    </row>
    <row r="130" spans="1:68" s="159" customFormat="1">
      <c r="A130" s="159">
        <v>66</v>
      </c>
      <c r="B130" s="159">
        <f t="shared" si="52"/>
        <v>2089.2961308540398</v>
      </c>
      <c r="C130" s="159" t="str">
        <f t="shared" si="53"/>
        <v>13127.4347517293j</v>
      </c>
      <c r="D130" s="159">
        <f t="shared" si="54"/>
        <v>0.99993015746684155</v>
      </c>
      <c r="E130" s="159" t="str">
        <f t="shared" si="55"/>
        <v>-0.0131274347517293j</v>
      </c>
      <c r="F130" s="159" t="str">
        <f t="shared" si="56"/>
        <v>0.999930157466842-0.0131274347517293j</v>
      </c>
      <c r="G130" s="159">
        <f t="shared" si="57"/>
        <v>1.4179203168333376E-4</v>
      </c>
      <c r="H130" s="159">
        <f t="shared" si="58"/>
        <v>-0.75215593232161493</v>
      </c>
      <c r="J130" s="159">
        <f t="shared" si="59"/>
        <v>6.3936063936063938</v>
      </c>
      <c r="K130" s="159" t="str">
        <f t="shared" si="60"/>
        <v>1+3.21668097438999j</v>
      </c>
      <c r="L130" s="159">
        <f t="shared" si="61"/>
        <v>0.89875699594381553</v>
      </c>
      <c r="M130" s="159" t="str">
        <f t="shared" si="62"/>
        <v>0.0351495917643843j</v>
      </c>
      <c r="N130" s="159" t="str">
        <f t="shared" si="63"/>
        <v>0.898756995943816+0.0351495917643843j</v>
      </c>
      <c r="O130" s="159" t="str">
        <f t="shared" si="64"/>
        <v>1.25070763886485+3.53011895961434j</v>
      </c>
      <c r="P130" s="159" t="str">
        <f t="shared" si="65"/>
        <v>7.99653235637866+22.5701911503814j</v>
      </c>
      <c r="R130" s="159">
        <f t="shared" si="66"/>
        <v>31.968031968031973</v>
      </c>
      <c r="S130" s="159" t="str">
        <f t="shared" si="67"/>
        <v>1+0.000459460216310525j</v>
      </c>
      <c r="T130" s="159" t="str">
        <f t="shared" si="68"/>
        <v>0.898756995943816+0.0351495917643843j</v>
      </c>
      <c r="U130" s="159" t="str">
        <f t="shared" si="69"/>
        <v>1.1109685477244-0.0429377805941279j</v>
      </c>
      <c r="V130" s="159" t="str">
        <f t="shared" si="70"/>
        <v>35.5154780491317-1.37263634266942j</v>
      </c>
      <c r="X130" s="159" t="str">
        <f t="shared" si="71"/>
        <v>0.325043544913771+0.880539103392871j</v>
      </c>
      <c r="Y130" s="159">
        <f t="shared" si="72"/>
        <v>-0.5502289927917845</v>
      </c>
      <c r="Z130" s="159">
        <f t="shared" si="73"/>
        <v>-110.26119734786457</v>
      </c>
      <c r="AB130" s="159" t="str">
        <f t="shared" si="74"/>
        <v>15.6421396384636-0.604552452177679j</v>
      </c>
      <c r="AC130" s="159">
        <f t="shared" si="75"/>
        <v>23.892405570657797</v>
      </c>
      <c r="AD130" s="159">
        <f t="shared" si="76"/>
        <v>177.78667923019671</v>
      </c>
      <c r="AF130" s="159" t="str">
        <f t="shared" si="77"/>
        <v>7.97845513341292-5.75822146457071j</v>
      </c>
      <c r="AG130" s="159">
        <f t="shared" si="78"/>
        <v>19.859330534050969</v>
      </c>
      <c r="AH130" s="159">
        <f t="shared" si="79"/>
        <v>144.1812115310411</v>
      </c>
      <c r="AJ130" s="159" t="str">
        <f t="shared" si="80"/>
        <v>156482.543236921-12618.0118053622j</v>
      </c>
      <c r="AK130" s="159" t="str">
        <f t="shared" si="81"/>
        <v>30000-0.0000118146912765564j</v>
      </c>
      <c r="AL130" s="159" t="str">
        <f t="shared" si="95"/>
        <v>10000-1692807.66901506j</v>
      </c>
      <c r="AM130" s="159" t="str">
        <f t="shared" si="96"/>
        <v>963.123134435021-525358.027971052j</v>
      </c>
      <c r="AN130" s="159" t="str">
        <f t="shared" si="97"/>
        <v>10963.123134435-525358.027971052j</v>
      </c>
      <c r="AO130" s="159" t="str">
        <f t="shared" si="98"/>
        <v>29867.2322842437-1702.76531102579j</v>
      </c>
      <c r="AP130" s="159" t="str">
        <f t="shared" si="99"/>
        <v>0.160139796740032+0.0108355763535687j</v>
      </c>
      <c r="AQ130" s="159" t="str">
        <f t="shared" si="82"/>
        <v>1+1.31143073169776j</v>
      </c>
      <c r="AR130" s="159">
        <f t="shared" si="83"/>
        <v>-1.5823582042662365E-7</v>
      </c>
      <c r="AS130" s="159" t="str">
        <f t="shared" si="84"/>
        <v>0.0000357721284241148j</v>
      </c>
      <c r="AT130" s="159" t="str">
        <f t="shared" si="85"/>
        <v>-1.58235820426624E-07+0.0000357721284241148j</v>
      </c>
      <c r="AU130" s="159" t="str">
        <f t="shared" si="86"/>
        <v>5.48044711213235-4.21745111882664j</v>
      </c>
      <c r="AW130" s="159" t="str">
        <f t="shared" si="100"/>
        <v>0.917640733216831-0.62437503629605j</v>
      </c>
      <c r="AX130" s="159">
        <f t="shared" si="87"/>
        <v>0.90578522738603873</v>
      </c>
      <c r="AY130" s="159">
        <f t="shared" si="88"/>
        <v>145.76810490528612</v>
      </c>
      <c r="AZ130" s="159" t="str">
        <f t="shared" si="89"/>
        <v>13.9763970276485-10.321323459998j</v>
      </c>
      <c r="BA130" s="159">
        <f t="shared" si="90"/>
        <v>24.798190798043855</v>
      </c>
      <c r="BB130" s="159">
        <f t="shared" si="91"/>
        <v>143.55478413548272</v>
      </c>
      <c r="BD130" s="159" t="str">
        <f t="shared" si="92"/>
        <v>3.72606568262058-10.2655267802847j</v>
      </c>
      <c r="BE130" s="159">
        <f t="shared" si="93"/>
        <v>20.765115761437034</v>
      </c>
      <c r="BF130" s="159">
        <f t="shared" si="94"/>
        <v>109.94931643632709</v>
      </c>
      <c r="BH130" s="159">
        <f t="shared" si="101"/>
        <v>-19.765115761437034</v>
      </c>
      <c r="BI130" s="169">
        <f t="shared" si="102"/>
        <v>-109.94931643632709</v>
      </c>
      <c r="BN130" s="165"/>
      <c r="BO130" s="165"/>
      <c r="BP130" s="165"/>
    </row>
    <row r="131" spans="1:68" s="159" customFormat="1">
      <c r="A131" s="159">
        <v>67</v>
      </c>
      <c r="B131" s="159">
        <f t="shared" si="52"/>
        <v>2187.7616239495537</v>
      </c>
      <c r="C131" s="159" t="str">
        <f t="shared" si="53"/>
        <v>13746.1116912112j</v>
      </c>
      <c r="D131" s="159">
        <f t="shared" si="54"/>
        <v>0.99992341918522842</v>
      </c>
      <c r="E131" s="159" t="str">
        <f t="shared" si="55"/>
        <v>-0.0137461116912112j</v>
      </c>
      <c r="F131" s="159" t="str">
        <f t="shared" si="56"/>
        <v>0.999923419185228-0.0137461116912112j</v>
      </c>
      <c r="G131" s="159">
        <f t="shared" si="57"/>
        <v>1.5547386724193145E-4</v>
      </c>
      <c r="H131" s="159">
        <f t="shared" si="58"/>
        <v>-0.78760489129873057</v>
      </c>
      <c r="J131" s="159">
        <f t="shared" si="59"/>
        <v>6.3936063936063938</v>
      </c>
      <c r="K131" s="159" t="str">
        <f t="shared" si="60"/>
        <v>1+3.36827847825594j</v>
      </c>
      <c r="L131" s="159">
        <f t="shared" si="61"/>
        <v>0.88898925354035818</v>
      </c>
      <c r="M131" s="159" t="str">
        <f t="shared" si="62"/>
        <v>0.0368061409888215j</v>
      </c>
      <c r="N131" s="159" t="str">
        <f t="shared" si="63"/>
        <v>0.888989253540358+0.0368061409888215j</v>
      </c>
      <c r="O131" s="159" t="str">
        <f t="shared" si="64"/>
        <v>1.27954798253458+3.73590933926631j</v>
      </c>
      <c r="P131" s="159" t="str">
        <f t="shared" si="65"/>
        <v>8.18092616205925+23.8859338374669j</v>
      </c>
      <c r="R131" s="159">
        <f t="shared" si="66"/>
        <v>31.968031968031973</v>
      </c>
      <c r="S131" s="159" t="str">
        <f t="shared" si="67"/>
        <v>1+0.000481113909192392j</v>
      </c>
      <c r="T131" s="159" t="str">
        <f t="shared" si="68"/>
        <v>0.888989253540358+0.0368061409888215j</v>
      </c>
      <c r="U131" s="159" t="str">
        <f t="shared" si="69"/>
        <v>1.12297046271807-0.0459522936921941j</v>
      </c>
      <c r="V131" s="159" t="str">
        <f t="shared" si="70"/>
        <v>35.8991556513269-1.46900439375645j</v>
      </c>
      <c r="X131" s="159" t="str">
        <f t="shared" si="71"/>
        <v>0.333525133374046+0.93181093814153j</v>
      </c>
      <c r="Y131" s="159">
        <f t="shared" si="72"/>
        <v>-8.9908425197197689E-2</v>
      </c>
      <c r="Z131" s="159">
        <f t="shared" si="73"/>
        <v>-109.69392366450757</v>
      </c>
      <c r="AB131" s="159" t="str">
        <f t="shared" si="74"/>
        <v>15.8111233875036-0.646995989322374j</v>
      </c>
      <c r="AC131" s="159">
        <f t="shared" si="75"/>
        <v>23.986520611948187</v>
      </c>
      <c r="AD131" s="159">
        <f t="shared" si="76"/>
        <v>177.6567465547605</v>
      </c>
      <c r="AF131" s="159" t="str">
        <f t="shared" si="77"/>
        <v>7.73896887828845-5.89284119465053j</v>
      </c>
      <c r="AG131" s="159">
        <f t="shared" si="78"/>
        <v>19.759701682557754</v>
      </c>
      <c r="AH131" s="159">
        <f t="shared" si="79"/>
        <v>142.71252556802574</v>
      </c>
      <c r="AJ131" s="159" t="str">
        <f t="shared" si="80"/>
        <v>156385.075723988-13204.4506637208j</v>
      </c>
      <c r="AK131" s="159" t="str">
        <f t="shared" si="81"/>
        <v>30000-0.0000123715005220901j</v>
      </c>
      <c r="AL131" s="159" t="str">
        <f t="shared" si="95"/>
        <v>10000-1616618.77346962j</v>
      </c>
      <c r="AM131" s="159" t="str">
        <f t="shared" si="96"/>
        <v>963.121592195433-501713.38323515j</v>
      </c>
      <c r="AN131" s="159" t="str">
        <f t="shared" si="97"/>
        <v>10963.1215921954-501713.38323515j</v>
      </c>
      <c r="AO131" s="159" t="str">
        <f t="shared" si="98"/>
        <v>29854.5081308083-1781.97400135426j</v>
      </c>
      <c r="AP131" s="159" t="str">
        <f t="shared" si="99"/>
        <v>0.160153281616193+0.0113460591580599j</v>
      </c>
      <c r="AQ131" s="159" t="str">
        <f t="shared" si="82"/>
        <v>1+1.373236557952j</v>
      </c>
      <c r="AR131" s="159">
        <f t="shared" si="83"/>
        <v>-1.8314994656093863E-7</v>
      </c>
      <c r="AS131" s="159" t="str">
        <f t="shared" si="84"/>
        <v>0.0000374580168974336j</v>
      </c>
      <c r="AT131" s="159" t="str">
        <f t="shared" si="85"/>
        <v>-1.83149946560939E-07+0.0000374580168974336j</v>
      </c>
      <c r="AU131" s="159" t="str">
        <f t="shared" si="86"/>
        <v>5.47939194260508-4.03127455345401j</v>
      </c>
      <c r="AW131" s="159" t="str">
        <f t="shared" si="100"/>
        <v>0.917625204119078-0.59222405457653j</v>
      </c>
      <c r="AX131" s="159">
        <f t="shared" si="87"/>
        <v>0.76555012875937634</v>
      </c>
      <c r="AY131" s="159">
        <f t="shared" si="88"/>
        <v>147.16229789253086</v>
      </c>
      <c r="AZ131" s="159" t="str">
        <f t="shared" si="89"/>
        <v>14.1255187377187-9.95742742672335j</v>
      </c>
      <c r="BA131" s="159">
        <f t="shared" si="90"/>
        <v>24.752070740707577</v>
      </c>
      <c r="BB131" s="159">
        <f t="shared" si="91"/>
        <v>144.81904444729142</v>
      </c>
      <c r="BD131" s="159" t="str">
        <f t="shared" si="92"/>
        <v>3.61159059133911-9.99062313142408j</v>
      </c>
      <c r="BE131" s="159">
        <f t="shared" si="93"/>
        <v>20.52525181131714</v>
      </c>
      <c r="BF131" s="159">
        <f t="shared" si="94"/>
        <v>109.8748234605567</v>
      </c>
      <c r="BH131" s="159">
        <f t="shared" si="101"/>
        <v>-19.52525181131714</v>
      </c>
      <c r="BI131" s="169">
        <f t="shared" si="102"/>
        <v>-109.8748234605567</v>
      </c>
      <c r="BN131" s="165"/>
      <c r="BO131" s="165"/>
      <c r="BP131" s="165"/>
    </row>
    <row r="132" spans="1:68" s="159" customFormat="1">
      <c r="A132" s="159">
        <v>68</v>
      </c>
      <c r="B132" s="159">
        <f t="shared" si="52"/>
        <v>2290.867652767774</v>
      </c>
      <c r="C132" s="159" t="str">
        <f t="shared" si="53"/>
        <v>14393.9459765635j</v>
      </c>
      <c r="D132" s="159">
        <f t="shared" si="54"/>
        <v>0.99991603080636005</v>
      </c>
      <c r="E132" s="159" t="str">
        <f t="shared" si="55"/>
        <v>-0.0143939459765635j</v>
      </c>
      <c r="F132" s="159" t="str">
        <f t="shared" si="56"/>
        <v>0.99991603080636-0.0143939459765635j</v>
      </c>
      <c r="G132" s="159">
        <f t="shared" si="57"/>
        <v>1.7047610535565234E-4</v>
      </c>
      <c r="H132" s="159">
        <f t="shared" si="58"/>
        <v>-0.82472464777844356</v>
      </c>
      <c r="J132" s="159">
        <f t="shared" si="59"/>
        <v>6.3936063936063938</v>
      </c>
      <c r="K132" s="159" t="str">
        <f t="shared" si="60"/>
        <v>1+3.52702055236724j</v>
      </c>
      <c r="L132" s="159">
        <f t="shared" si="61"/>
        <v>0.87827913696942272</v>
      </c>
      <c r="M132" s="159" t="str">
        <f t="shared" si="62"/>
        <v>0.0385407609729815j</v>
      </c>
      <c r="N132" s="159" t="str">
        <f t="shared" si="63"/>
        <v>0.878279136969423+0.0385407609729815j</v>
      </c>
      <c r="O132" s="159" t="str">
        <f t="shared" si="64"/>
        <v>1.31228641026593+3.95824503755931j</v>
      </c>
      <c r="P132" s="159" t="str">
        <f t="shared" si="65"/>
        <v>8.39024278291903+25.3074607796j</v>
      </c>
      <c r="R132" s="159">
        <f t="shared" si="66"/>
        <v>31.968031968031973</v>
      </c>
      <c r="S132" s="159" t="str">
        <f t="shared" si="67"/>
        <v>1+0.000503788109179722j</v>
      </c>
      <c r="T132" s="159" t="str">
        <f t="shared" si="68"/>
        <v>0.878279136969423+0.0385407609729815j</v>
      </c>
      <c r="U132" s="159" t="str">
        <f t="shared" si="69"/>
        <v>1.13642699941141-0.0492952313404265j</v>
      </c>
      <c r="V132" s="159" t="str">
        <f t="shared" si="70"/>
        <v>36.3293346465186-1.57587153136229j</v>
      </c>
      <c r="X132" s="159" t="str">
        <f t="shared" si="71"/>
        <v>0.343135569742112+0.98719509613513j</v>
      </c>
      <c r="Y132" s="159">
        <f t="shared" si="72"/>
        <v>0.38340413662202977</v>
      </c>
      <c r="Z132" s="159">
        <f t="shared" si="73"/>
        <v>-109.16675518793367</v>
      </c>
      <c r="AB132" s="159" t="str">
        <f t="shared" si="74"/>
        <v>16.0005878205323-0.694063656182466j</v>
      </c>
      <c r="AC132" s="159">
        <f t="shared" si="75"/>
        <v>24.090882752199274</v>
      </c>
      <c r="AD132" s="159">
        <f t="shared" si="76"/>
        <v>177.51621596652186</v>
      </c>
      <c r="AF132" s="159" t="str">
        <f t="shared" si="77"/>
        <v>7.48795333368451-6.02034124435935j</v>
      </c>
      <c r="AG132" s="159">
        <f t="shared" si="78"/>
        <v>19.652673522890662</v>
      </c>
      <c r="AH132" s="159">
        <f t="shared" si="79"/>
        <v>141.20059397545626</v>
      </c>
      <c r="AJ132" s="159" t="str">
        <f t="shared" si="80"/>
        <v>156278.344180602-13817.3206018448j</v>
      </c>
      <c r="AK132" s="159" t="str">
        <f t="shared" si="81"/>
        <v>30000-0.0000129545513789072j</v>
      </c>
      <c r="AL132" s="159" t="str">
        <f t="shared" si="95"/>
        <v>10000-1543858.94308655j</v>
      </c>
      <c r="AM132" s="159" t="str">
        <f t="shared" si="96"/>
        <v>963.119901169031-479132.939849703j</v>
      </c>
      <c r="AN132" s="159" t="str">
        <f t="shared" si="97"/>
        <v>10963.119901169-479132.939849703j</v>
      </c>
      <c r="AO132" s="159" t="str">
        <f t="shared" si="98"/>
        <v>29840.5734486895-1864.7630395153j</v>
      </c>
      <c r="AP132" s="159" t="str">
        <f t="shared" si="99"/>
        <v>0.160168066991179+0.0118805732928868j</v>
      </c>
      <c r="AQ132" s="159" t="str">
        <f t="shared" si="82"/>
        <v>1+1.43795520305869j</v>
      </c>
      <c r="AR132" s="159">
        <f t="shared" si="83"/>
        <v>-2.1046774264317919E-7</v>
      </c>
      <c r="AS132" s="159" t="str">
        <f t="shared" si="84"/>
        <v>0.0000392233588466758j</v>
      </c>
      <c r="AT132" s="159" t="str">
        <f t="shared" si="85"/>
        <v>-2.10467742643179E-07+0.0000392233588466758j</v>
      </c>
      <c r="AU132" s="159" t="str">
        <f t="shared" si="86"/>
        <v>5.47842454370238-3.85364833842537j</v>
      </c>
      <c r="AW132" s="159" t="str">
        <f t="shared" si="100"/>
        <v>0.917638491586752-0.561329806020657j</v>
      </c>
      <c r="AX132" s="159">
        <f t="shared" si="87"/>
        <v>0.63390242311454348</v>
      </c>
      <c r="AY132" s="159">
        <f t="shared" si="88"/>
        <v>148.54540460431946</v>
      </c>
      <c r="AZ132" s="159" t="str">
        <f t="shared" si="89"/>
        <v>14.2931566546437-9.61850638404035j</v>
      </c>
      <c r="BA132" s="159">
        <f t="shared" si="90"/>
        <v>24.724785175313812</v>
      </c>
      <c r="BB132" s="159">
        <f t="shared" si="91"/>
        <v>146.06162057084126</v>
      </c>
      <c r="BD132" s="159" t="str">
        <f t="shared" si="92"/>
        <v>3.49183721931984-9.72770825060028j</v>
      </c>
      <c r="BE132" s="159">
        <f t="shared" si="93"/>
        <v>20.286575946005204</v>
      </c>
      <c r="BF132" s="159">
        <f t="shared" si="94"/>
        <v>109.74599857977566</v>
      </c>
      <c r="BH132" s="159">
        <f t="shared" si="101"/>
        <v>-19.286575946005204</v>
      </c>
      <c r="BI132" s="169">
        <f t="shared" si="102"/>
        <v>-109.74599857977566</v>
      </c>
      <c r="BN132" s="165"/>
      <c r="BO132" s="165"/>
      <c r="BP132" s="165"/>
    </row>
    <row r="133" spans="1:68" s="159" customFormat="1">
      <c r="A133" s="159">
        <v>69</v>
      </c>
      <c r="B133" s="159">
        <f t="shared" si="52"/>
        <v>2398.8329190194918</v>
      </c>
      <c r="C133" s="159" t="str">
        <f t="shared" si="53"/>
        <v>15072.311751162j</v>
      </c>
      <c r="D133" s="159">
        <f t="shared" si="54"/>
        <v>0.99990792961002606</v>
      </c>
      <c r="E133" s="159" t="str">
        <f t="shared" si="55"/>
        <v>-0.015072311751162j</v>
      </c>
      <c r="F133" s="159" t="str">
        <f t="shared" si="56"/>
        <v>0.999907929610026-0.015072311751162j</v>
      </c>
      <c r="G133" s="159">
        <f t="shared" si="57"/>
        <v>1.8692621771733848E-4</v>
      </c>
      <c r="H133" s="159">
        <f t="shared" si="58"/>
        <v>-0.86359396468834448</v>
      </c>
      <c r="J133" s="159">
        <f t="shared" si="59"/>
        <v>6.3936063936063938</v>
      </c>
      <c r="K133" s="159" t="str">
        <f t="shared" si="60"/>
        <v>1+3.69324390994598j</v>
      </c>
      <c r="L133" s="159">
        <f t="shared" si="61"/>
        <v>0.86653572767124176</v>
      </c>
      <c r="M133" s="159" t="str">
        <f t="shared" si="62"/>
        <v>0.0403571310784148j</v>
      </c>
      <c r="N133" s="159" t="str">
        <f t="shared" si="63"/>
        <v>0.866535727671242+0.0403571310784148j</v>
      </c>
      <c r="O133" s="159" t="str">
        <f t="shared" si="64"/>
        <v>1.34959082163222+4.19922477522551j</v>
      </c>
      <c r="P133" s="159" t="str">
        <f t="shared" si="65"/>
        <v>8.62875250594027+26.8481903710722j</v>
      </c>
      <c r="R133" s="159">
        <f t="shared" si="66"/>
        <v>31.968031968031973</v>
      </c>
      <c r="S133" s="159" t="str">
        <f t="shared" si="67"/>
        <v>1+0.00052753091129067j</v>
      </c>
      <c r="T133" s="159" t="str">
        <f t="shared" si="68"/>
        <v>0.866535727671242+0.0403571310784148j</v>
      </c>
      <c r="U133" s="159" t="str">
        <f t="shared" si="69"/>
        <v>1.151551099251-0.0530223581988371j</v>
      </c>
      <c r="V133" s="159" t="str">
        <f t="shared" si="70"/>
        <v>36.8128223536783-1.69502044192087j</v>
      </c>
      <c r="X133" s="159" t="str">
        <f t="shared" si="71"/>
        <v>0.354064474354454+1.04721163831447j</v>
      </c>
      <c r="Y133" s="159">
        <f t="shared" si="72"/>
        <v>0.87076134311053521</v>
      </c>
      <c r="Z133" s="159">
        <f t="shared" si="73"/>
        <v>-108.68050419955188</v>
      </c>
      <c r="AB133" s="159" t="str">
        <f t="shared" si="74"/>
        <v>16.2135310960926-0.746540604237336j</v>
      </c>
      <c r="AC133" s="159">
        <f t="shared" si="75"/>
        <v>24.206749808080332</v>
      </c>
      <c r="AD133" s="159">
        <f t="shared" si="76"/>
        <v>177.36371822997168</v>
      </c>
      <c r="AF133" s="159" t="str">
        <f t="shared" si="77"/>
        <v>7.22571621262868-6.13958557713661j</v>
      </c>
      <c r="AG133" s="159">
        <f t="shared" si="78"/>
        <v>19.537861922813466</v>
      </c>
      <c r="AH133" s="159">
        <f t="shared" si="79"/>
        <v>139.64592960831354</v>
      </c>
      <c r="AJ133" s="159" t="str">
        <f t="shared" si="80"/>
        <v>156161.482693478-14457.6916275506j</v>
      </c>
      <c r="AK133" s="159" t="str">
        <f t="shared" si="81"/>
        <v>30000-0.0000135650805760458j</v>
      </c>
      <c r="AL133" s="159" t="str">
        <f t="shared" si="95"/>
        <v>10000-1474373.84451055j</v>
      </c>
      <c r="AM133" s="159" t="str">
        <f t="shared" si="96"/>
        <v>963.11804700228-457568.801666691j</v>
      </c>
      <c r="AN133" s="159" t="str">
        <f t="shared" si="97"/>
        <v>10963.1180470023-457568.801666691j</v>
      </c>
      <c r="AO133" s="159" t="str">
        <f t="shared" si="98"/>
        <v>29825.3148623595-1951.27892245731j</v>
      </c>
      <c r="AP133" s="159" t="str">
        <f t="shared" si="99"/>
        <v>0.160184278234135+0.0124402473239426j</v>
      </c>
      <c r="AQ133" s="159" t="str">
        <f t="shared" si="82"/>
        <v>1+1.50572394394108j</v>
      </c>
      <c r="AR133" s="159">
        <f t="shared" si="83"/>
        <v>-2.4042111041403773E-7</v>
      </c>
      <c r="AS133" s="159" t="str">
        <f t="shared" si="84"/>
        <v>0.0000410718987987989j</v>
      </c>
      <c r="AT133" s="159" t="str">
        <f t="shared" si="85"/>
        <v>-2.40421110414038E-07+0.0000410718987987989j</v>
      </c>
      <c r="AU133" s="159" t="str">
        <f t="shared" si="86"/>
        <v>5.47753670355909-3.68419576114237j</v>
      </c>
      <c r="AW133" s="159" t="str">
        <f t="shared" si="100"/>
        <v>0.917680705094879-0.531626862129894j</v>
      </c>
      <c r="AX133" s="159">
        <f t="shared" si="87"/>
        <v>0.51061792536827977</v>
      </c>
      <c r="AY133" s="159">
        <f t="shared" si="88"/>
        <v>149.91561267856531</v>
      </c>
      <c r="AZ133" s="159" t="str">
        <f t="shared" si="89"/>
        <v>14.4819636094568-9.30463456873966j</v>
      </c>
      <c r="BA133" s="159">
        <f t="shared" si="90"/>
        <v>24.717367733448633</v>
      </c>
      <c r="BB133" s="159">
        <f t="shared" si="91"/>
        <v>147.27933090853705</v>
      </c>
      <c r="BD133" s="159" t="str">
        <f t="shared" si="92"/>
        <v>3.36693173366951-9.47556405817798j</v>
      </c>
      <c r="BE133" s="159">
        <f t="shared" si="93"/>
        <v>20.048479848181771</v>
      </c>
      <c r="BF133" s="159">
        <f t="shared" si="94"/>
        <v>109.56154228687889</v>
      </c>
      <c r="BH133" s="159">
        <f t="shared" si="101"/>
        <v>-19.048479848181771</v>
      </c>
      <c r="BI133" s="169">
        <f t="shared" si="102"/>
        <v>-109.56154228687889</v>
      </c>
      <c r="BN133" s="165"/>
      <c r="BO133" s="165"/>
      <c r="BP133" s="165"/>
    </row>
    <row r="134" spans="1:68" s="159" customFormat="1">
      <c r="A134" s="159">
        <v>70</v>
      </c>
      <c r="B134" s="159">
        <f t="shared" si="52"/>
        <v>2511.8864315095811</v>
      </c>
      <c r="C134" s="159" t="str">
        <f t="shared" si="53"/>
        <v>15782.6479197648j</v>
      </c>
      <c r="D134" s="159">
        <f t="shared" si="54"/>
        <v>0.99989904682488318</v>
      </c>
      <c r="E134" s="159" t="str">
        <f t="shared" si="55"/>
        <v>-0.0157826479197648j</v>
      </c>
      <c r="F134" s="159" t="str">
        <f t="shared" si="56"/>
        <v>0.999899046824883-0.0157826479197648j</v>
      </c>
      <c r="G134" s="159">
        <f t="shared" si="57"/>
        <v>2.0496399079836114E-4</v>
      </c>
      <c r="H134" s="159">
        <f t="shared" si="58"/>
        <v>-0.90429531999893054</v>
      </c>
      <c r="J134" s="159">
        <f t="shared" si="59"/>
        <v>6.3936063936063938</v>
      </c>
      <c r="K134" s="159" t="str">
        <f t="shared" si="60"/>
        <v>1+3.86730113301957j</v>
      </c>
      <c r="L134" s="159">
        <f t="shared" si="61"/>
        <v>0.8536593354273998</v>
      </c>
      <c r="M134" s="159" t="str">
        <f t="shared" si="62"/>
        <v>0.0422591040696404j</v>
      </c>
      <c r="N134" s="159" t="str">
        <f t="shared" si="63"/>
        <v>0.8536593354274+0.0422591040696404j</v>
      </c>
      <c r="O134" s="159" t="str">
        <f t="shared" si="64"/>
        <v>1.39227931777135+4.46134013696352j</v>
      </c>
      <c r="P134" s="159" t="str">
        <f t="shared" si="65"/>
        <v>8.90168594778885+28.5240528237428j</v>
      </c>
      <c r="R134" s="159">
        <f t="shared" si="66"/>
        <v>31.968031968031973</v>
      </c>
      <c r="S134" s="159" t="str">
        <f t="shared" si="67"/>
        <v>1+0.000552392677191768j</v>
      </c>
      <c r="T134" s="159" t="str">
        <f t="shared" si="68"/>
        <v>0.8536593354274+0.0422591040696404j</v>
      </c>
      <c r="U134" s="159" t="str">
        <f t="shared" si="69"/>
        <v>1.16859575447028-0.0572024634415315j</v>
      </c>
      <c r="V134" s="159" t="str">
        <f t="shared" si="70"/>
        <v>37.3577064366124-1.82865017994906j</v>
      </c>
      <c r="X134" s="159" t="str">
        <f t="shared" si="71"/>
        <v>0.366543290719599+1.11247769825169j</v>
      </c>
      <c r="Y134" s="159">
        <f t="shared" si="72"/>
        <v>1.3734164360978971</v>
      </c>
      <c r="Z134" s="159">
        <f t="shared" si="73"/>
        <v>-108.2362101749939</v>
      </c>
      <c r="AB134" s="159" t="str">
        <f t="shared" si="74"/>
        <v>16.453515277081-0.805395366636891j</v>
      </c>
      <c r="AC134" s="159">
        <f t="shared" si="75"/>
        <v>24.335567560914512</v>
      </c>
      <c r="AD134" s="159">
        <f t="shared" si="76"/>
        <v>177.19762304901525</v>
      </c>
      <c r="AF134" s="159" t="str">
        <f t="shared" si="77"/>
        <v>6.95269835676008-6.24943043458693j</v>
      </c>
      <c r="AG134" s="159">
        <f t="shared" si="78"/>
        <v>19.414885505601614</v>
      </c>
      <c r="AH134" s="159">
        <f t="shared" si="79"/>
        <v>138.04922304293427</v>
      </c>
      <c r="AJ134" s="159" t="str">
        <f t="shared" si="80"/>
        <v>156033.547335229-15126.6589597133j</v>
      </c>
      <c r="AK134" s="159" t="str">
        <f t="shared" si="81"/>
        <v>30000-0.0000142043831277883j</v>
      </c>
      <c r="AL134" s="159" t="str">
        <f t="shared" si="95"/>
        <v>10000-1408016.09053149j</v>
      </c>
      <c r="AM134" s="159" t="str">
        <f t="shared" si="96"/>
        <v>963.116013957073-436975.228257655j</v>
      </c>
      <c r="AN134" s="159" t="str">
        <f t="shared" si="97"/>
        <v>10963.1160139571-436975.228257655j</v>
      </c>
      <c r="AO134" s="159" t="str">
        <f t="shared" si="98"/>
        <v>29808.6087361421-2041.67185217751j</v>
      </c>
      <c r="AP134" s="159" t="str">
        <f t="shared" si="99"/>
        <v>0.16020205278925+0.0130262624132699j</v>
      </c>
      <c r="AQ134" s="159" t="str">
        <f t="shared" si="82"/>
        <v>1+1.5766865271845j</v>
      </c>
      <c r="AR134" s="159">
        <f t="shared" si="83"/>
        <v>-2.7326432507584515E-7</v>
      </c>
      <c r="AS134" s="159" t="str">
        <f t="shared" si="84"/>
        <v>0.0000430075577548799j</v>
      </c>
      <c r="AT134" s="159" t="str">
        <f t="shared" si="85"/>
        <v>-2.73264325075845E-07+0.0000430075577548799j</v>
      </c>
      <c r="AU134" s="159" t="str">
        <f t="shared" si="86"/>
        <v>5.47672088565087-3.52255743746008j</v>
      </c>
      <c r="AW134" s="159" t="str">
        <f t="shared" si="100"/>
        <v>0.917752198981645-0.503052333704512j</v>
      </c>
      <c r="AX134" s="159">
        <f t="shared" si="87"/>
        <v>0.39545279774083364</v>
      </c>
      <c r="AY134" s="159">
        <f t="shared" si="88"/>
        <v>151.27129935502535</v>
      </c>
      <c r="AZ134" s="159" t="str">
        <f t="shared" si="89"/>
        <v>14.6950938077777-9.01613262655907j</v>
      </c>
      <c r="BA134" s="159">
        <f t="shared" si="90"/>
        <v>24.73102035865535</v>
      </c>
      <c r="BB134" s="159">
        <f t="shared" si="91"/>
        <v>148.46892240404065</v>
      </c>
      <c r="BD134" s="159" t="str">
        <f t="shared" si="92"/>
        <v>3.23706364132968-9.23299965763666j</v>
      </c>
      <c r="BE134" s="159">
        <f t="shared" si="93"/>
        <v>19.810338303342451</v>
      </c>
      <c r="BF134" s="159">
        <f t="shared" si="94"/>
        <v>109.32052239795964</v>
      </c>
      <c r="BH134" s="159">
        <f t="shared" si="101"/>
        <v>-18.810338303342451</v>
      </c>
      <c r="BI134" s="169">
        <f t="shared" si="102"/>
        <v>-109.32052239795964</v>
      </c>
      <c r="BN134" s="165"/>
      <c r="BO134" s="165"/>
      <c r="BP134" s="165"/>
    </row>
    <row r="135" spans="1:68" s="159" customFormat="1">
      <c r="A135" s="159">
        <v>71</v>
      </c>
      <c r="B135" s="159">
        <f t="shared" si="52"/>
        <v>2630.2679918953822</v>
      </c>
      <c r="C135" s="159" t="str">
        <f t="shared" si="53"/>
        <v>16526.4612006218j</v>
      </c>
      <c r="D135" s="159">
        <f t="shared" si="54"/>
        <v>0.99988930704465295</v>
      </c>
      <c r="E135" s="159" t="str">
        <f t="shared" si="55"/>
        <v>-0.0165264612006218j</v>
      </c>
      <c r="F135" s="159" t="str">
        <f t="shared" si="56"/>
        <v>0.999889307044653-0.0165264612006218j</v>
      </c>
      <c r="G135" s="159">
        <f t="shared" si="57"/>
        <v>2.2474271726629339E-4</v>
      </c>
      <c r="H135" s="159">
        <f t="shared" si="58"/>
        <v>-0.94691508226121013</v>
      </c>
      <c r="J135" s="159">
        <f t="shared" si="59"/>
        <v>6.3936063936063938</v>
      </c>
      <c r="K135" s="159" t="str">
        <f t="shared" si="60"/>
        <v>1+4.04956142029436j</v>
      </c>
      <c r="L135" s="159">
        <f t="shared" si="61"/>
        <v>0.83954065208704154</v>
      </c>
      <c r="M135" s="159" t="str">
        <f t="shared" si="62"/>
        <v>0.0442507142863742j</v>
      </c>
      <c r="N135" s="159" t="str">
        <f t="shared" si="63"/>
        <v>0.839540652087042+0.0442507142863742j</v>
      </c>
      <c r="O135" s="159" t="str">
        <f t="shared" si="64"/>
        <v>1.44136375963916+4.74757241888817j</v>
      </c>
      <c r="P135" s="159" t="str">
        <f t="shared" si="65"/>
        <v>9.21551254914148+30.3541093715128j</v>
      </c>
      <c r="R135" s="159">
        <f t="shared" si="66"/>
        <v>31.968031968031973</v>
      </c>
      <c r="S135" s="159" t="str">
        <f t="shared" si="67"/>
        <v>1+0.000578426142021763j</v>
      </c>
      <c r="T135" s="159" t="str">
        <f t="shared" si="68"/>
        <v>0.839540652087042+0.0442507142863742j</v>
      </c>
      <c r="U135" s="159" t="str">
        <f t="shared" si="69"/>
        <v>1.18786379026163-0.0619212362412026j</v>
      </c>
      <c r="V135" s="159" t="str">
        <f t="shared" si="70"/>
        <v>37.9736676207514-1.97950005965882j</v>
      </c>
      <c r="X135" s="159" t="str">
        <f t="shared" si="71"/>
        <v>0.380857222470416+1.18373134206644j</v>
      </c>
      <c r="Y135" s="159">
        <f t="shared" si="72"/>
        <v>1.8928592376874387</v>
      </c>
      <c r="Z135" s="159">
        <f t="shared" si="73"/>
        <v>-107.83521362987311</v>
      </c>
      <c r="AB135" s="159" t="str">
        <f t="shared" si="74"/>
        <v>16.7248040611105-0.871834423985387j</v>
      </c>
      <c r="AC135" s="159">
        <f t="shared" si="75"/>
        <v>24.479006076095434</v>
      </c>
      <c r="AD135" s="159">
        <f t="shared" si="76"/>
        <v>177.01597338578696</v>
      </c>
      <c r="AF135" s="159" t="str">
        <f t="shared" si="77"/>
        <v>6.6694795627681-6.34874212557726j</v>
      </c>
      <c r="AG135" s="159">
        <f t="shared" si="78"/>
        <v>19.283368713442073</v>
      </c>
      <c r="AH135" s="159">
        <f t="shared" si="79"/>
        <v>136.41134365001673</v>
      </c>
      <c r="AJ135" s="159" t="str">
        <f t="shared" si="80"/>
        <v>155893.509721889-15825.3406847635j</v>
      </c>
      <c r="AK135" s="159" t="str">
        <f t="shared" si="81"/>
        <v>30000-0.0000148738150805596j</v>
      </c>
      <c r="AL135" s="159" t="str">
        <f t="shared" si="95"/>
        <v>10000-1344644.92745647j</v>
      </c>
      <c r="AM135" s="159" t="str">
        <f t="shared" si="96"/>
        <v>963.11378477719-417308.537892123j</v>
      </c>
      <c r="AN135" s="159" t="str">
        <f t="shared" si="97"/>
        <v>10963.1137847772-417308.537892123j</v>
      </c>
      <c r="AO135" s="159" t="str">
        <f t="shared" si="98"/>
        <v>29790.3203175948-2136.09546066108j</v>
      </c>
      <c r="AP135" s="159" t="str">
        <f t="shared" si="99"/>
        <v>0.160221541336623+0.0136398547103267j</v>
      </c>
      <c r="AQ135" s="159" t="str">
        <f t="shared" si="82"/>
        <v>1+1.65099347394212j</v>
      </c>
      <c r="AR135" s="159">
        <f t="shared" si="83"/>
        <v>-3.0927619384376354E-7</v>
      </c>
      <c r="AS135" s="159" t="str">
        <f t="shared" si="84"/>
        <v>0.0000450344415070824j</v>
      </c>
      <c r="AT135" s="159" t="str">
        <f t="shared" si="85"/>
        <v>-3.09276193843764E-07+0.0000450344415070824j</v>
      </c>
      <c r="AU135" s="159" t="str">
        <f t="shared" si="86"/>
        <v>5.47597016482953-3.36839055029303j</v>
      </c>
      <c r="AW135" s="159" t="str">
        <f t="shared" si="100"/>
        <v>0.917853575320018-0.475545739634455j</v>
      </c>
      <c r="AX135" s="159">
        <f t="shared" si="87"/>
        <v>0.28814737507946186</v>
      </c>
      <c r="AY135" s="159">
        <f t="shared" si="88"/>
        <v>152.6110405618289</v>
      </c>
      <c r="AZ135" s="159" t="str">
        <f t="shared" si="89"/>
        <v>14.9363240580241-8.75362566062419j</v>
      </c>
      <c r="BA135" s="159">
        <f t="shared" si="90"/>
        <v>24.767153451174885</v>
      </c>
      <c r="BB135" s="159">
        <f t="shared" si="91"/>
        <v>149.62701394761581</v>
      </c>
      <c r="BD135" s="159" t="str">
        <f t="shared" si="92"/>
        <v>3.10248839235442-8.99885825039933j</v>
      </c>
      <c r="BE135" s="159">
        <f t="shared" si="93"/>
        <v>19.57151608852153</v>
      </c>
      <c r="BF135" s="159">
        <f t="shared" si="94"/>
        <v>109.02238421184559</v>
      </c>
      <c r="BH135" s="159">
        <f t="shared" si="101"/>
        <v>-18.57151608852153</v>
      </c>
      <c r="BI135" s="169">
        <f t="shared" si="102"/>
        <v>-109.02238421184559</v>
      </c>
      <c r="BN135" s="165"/>
      <c r="BO135" s="165"/>
      <c r="BP135" s="165"/>
    </row>
    <row r="136" spans="1:68" s="159" customFormat="1">
      <c r="A136" s="159">
        <v>72</v>
      </c>
      <c r="B136" s="159">
        <f t="shared" si="52"/>
        <v>2754.2287033381667</v>
      </c>
      <c r="C136" s="159" t="str">
        <f t="shared" si="53"/>
        <v>17305.3293214267j</v>
      </c>
      <c r="D136" s="159">
        <f t="shared" si="54"/>
        <v>0.99987862758799528</v>
      </c>
      <c r="E136" s="159" t="str">
        <f t="shared" si="55"/>
        <v>-0.0173053293214267j</v>
      </c>
      <c r="F136" s="159" t="str">
        <f t="shared" si="56"/>
        <v>0.999878627587995-0.0173053293214267j</v>
      </c>
      <c r="G136" s="159">
        <f t="shared" si="57"/>
        <v>2.4643050304232645E-4</v>
      </c>
      <c r="H136" s="159">
        <f t="shared" si="58"/>
        <v>-0.99154369448422031</v>
      </c>
      <c r="J136" s="159">
        <f t="shared" si="59"/>
        <v>6.3936063936063938</v>
      </c>
      <c r="K136" s="159" t="str">
        <f t="shared" si="60"/>
        <v>1+4.24041137027579j</v>
      </c>
      <c r="L136" s="159">
        <f t="shared" si="61"/>
        <v>0.8240598236460861</v>
      </c>
      <c r="M136" s="159" t="str">
        <f t="shared" si="62"/>
        <v>0.0463361862009064j</v>
      </c>
      <c r="N136" s="159" t="str">
        <f t="shared" si="63"/>
        <v>0.824059823646086+0.0463361862009064j</v>
      </c>
      <c r="O136" s="159" t="str">
        <f t="shared" si="64"/>
        <v>1.49810907623173+5.06151930901753j</v>
      </c>
      <c r="P136" s="159" t="str">
        <f t="shared" si="65"/>
        <v>9.57831976811496+32.3613622154967j</v>
      </c>
      <c r="R136" s="159">
        <f t="shared" si="66"/>
        <v>31.968031968031973</v>
      </c>
      <c r="S136" s="159" t="str">
        <f t="shared" si="67"/>
        <v>1+0.000605686526249934j</v>
      </c>
      <c r="T136" s="159" t="str">
        <f t="shared" si="68"/>
        <v>0.824059823646086+0.0463361862009064j</v>
      </c>
      <c r="U136" s="159" t="str">
        <f t="shared" si="69"/>
        <v>1.20972066415604-0.0672865656449989j</v>
      </c>
      <c r="V136" s="159" t="str">
        <f t="shared" si="70"/>
        <v>38.6723888641292-2.15101908155841j</v>
      </c>
      <c r="X136" s="159" t="str">
        <f t="shared" si="71"/>
        <v>0.397361432140326+1.26186275403076j</v>
      </c>
      <c r="Y136" s="159">
        <f t="shared" si="72"/>
        <v>2.4308612062874069</v>
      </c>
      <c r="Z136" s="159">
        <f t="shared" si="73"/>
        <v>-107.47924994426629</v>
      </c>
      <c r="AB136" s="159" t="str">
        <f t="shared" si="74"/>
        <v>17.0325429923494-0.947376825174371j</v>
      </c>
      <c r="AC136" s="159">
        <f t="shared" si="75"/>
        <v>24.639005161471239</v>
      </c>
      <c r="AD136" s="159">
        <f t="shared" si="76"/>
        <v>176.81639903918125</v>
      </c>
      <c r="AF136" s="159" t="str">
        <f t="shared" si="77"/>
        <v>6.37678168608174-6.4364164621678j</v>
      </c>
      <c r="AG136" s="159">
        <f t="shared" si="78"/>
        <v>19.142944962005366</v>
      </c>
      <c r="AH136" s="159">
        <f t="shared" si="79"/>
        <v>134.73333774504829</v>
      </c>
      <c r="AJ136" s="159" t="str">
        <f t="shared" si="80"/>
        <v>155740.250157658-16554.8748307331j</v>
      </c>
      <c r="AK136" s="159" t="str">
        <f t="shared" si="81"/>
        <v>30000-0.000015574796389284j</v>
      </c>
      <c r="AL136" s="159" t="str">
        <f t="shared" si="95"/>
        <v>10000-1284125.93655225j</v>
      </c>
      <c r="AM136" s="159" t="str">
        <f t="shared" si="96"/>
        <v>963.111340541923-398527.014882778j</v>
      </c>
      <c r="AN136" s="159" t="str">
        <f t="shared" si="97"/>
        <v>10963.1113405419-398527.014882778j</v>
      </c>
      <c r="AO136" s="159" t="str">
        <f t="shared" si="98"/>
        <v>29770.3028239903-2234.70646133897j</v>
      </c>
      <c r="AP136" s="159" t="str">
        <f t="shared" si="99"/>
        <v>0.160242909064299+0.014282317843016j</v>
      </c>
      <c r="AQ136" s="159" t="str">
        <f t="shared" si="82"/>
        <v>1+1.72880239921053j</v>
      </c>
      <c r="AR136" s="159">
        <f t="shared" si="83"/>
        <v>-3.4876242275016198E-7</v>
      </c>
      <c r="AS136" s="159" t="str">
        <f t="shared" si="84"/>
        <v>0.0000471568493475945j</v>
      </c>
      <c r="AT136" s="159" t="str">
        <f t="shared" si="85"/>
        <v>-3.48762422750162E-07+0.0000471568493475945j</v>
      </c>
      <c r="AU136" s="159" t="str">
        <f t="shared" si="86"/>
        <v>5.47527816854732-3.22136812320865j</v>
      </c>
      <c r="AW136" s="159" t="str">
        <f t="shared" si="100"/>
        <v>0.917985688864287-0.449048881075019j</v>
      </c>
      <c r="AX136" s="159">
        <f t="shared" si="87"/>
        <v>0.18843003142725961</v>
      </c>
      <c r="AY136" s="159">
        <f t="shared" si="88"/>
        <v>153.93361638947911</v>
      </c>
      <c r="AZ136" s="159" t="str">
        <f t="shared" si="89"/>
        <v>15.2102122086415-8.51812274004839j</v>
      </c>
      <c r="BA136" s="159">
        <f t="shared" si="90"/>
        <v>24.827435192898498</v>
      </c>
      <c r="BB136" s="159">
        <f t="shared" si="91"/>
        <v>150.75001542866042</v>
      </c>
      <c r="BD136" s="159" t="str">
        <f t="shared" si="92"/>
        <v>2.96352871836565-8.77202488083522j</v>
      </c>
      <c r="BE136" s="159">
        <f t="shared" si="93"/>
        <v>19.331374993432625</v>
      </c>
      <c r="BF136" s="159">
        <f t="shared" si="94"/>
        <v>108.66695413452751</v>
      </c>
      <c r="BH136" s="159">
        <f t="shared" si="101"/>
        <v>-18.331374993432625</v>
      </c>
      <c r="BI136" s="169">
        <f t="shared" si="102"/>
        <v>-108.66695413452751</v>
      </c>
      <c r="BN136" s="165"/>
      <c r="BO136" s="165"/>
      <c r="BP136" s="165"/>
    </row>
    <row r="137" spans="1:68" s="159" customFormat="1">
      <c r="A137" s="159">
        <v>73</v>
      </c>
      <c r="B137" s="159">
        <f t="shared" si="52"/>
        <v>2884.0315031266064</v>
      </c>
      <c r="C137" s="159" t="str">
        <f t="shared" si="53"/>
        <v>18120.904365888j</v>
      </c>
      <c r="D137" s="159">
        <f t="shared" si="54"/>
        <v>0.99986691779662362</v>
      </c>
      <c r="E137" s="159" t="str">
        <f t="shared" si="55"/>
        <v>-0.018120904365888j</v>
      </c>
      <c r="F137" s="159" t="str">
        <f t="shared" si="56"/>
        <v>0.999866917796624-0.018120904365888j</v>
      </c>
      <c r="G137" s="159">
        <f t="shared" si="57"/>
        <v>2.7021170133629283E-4</v>
      </c>
      <c r="H137" s="159">
        <f t="shared" si="58"/>
        <v>-1.0382758667552585</v>
      </c>
      <c r="J137" s="159">
        <f t="shared" si="59"/>
        <v>6.3936063936063938</v>
      </c>
      <c r="K137" s="159" t="str">
        <f t="shared" si="60"/>
        <v>1+4.44025580129537j</v>
      </c>
      <c r="L137" s="159">
        <f t="shared" si="61"/>
        <v>0.8070854328023509</v>
      </c>
      <c r="M137" s="159" t="str">
        <f t="shared" si="62"/>
        <v>0.0485199433787707j</v>
      </c>
      <c r="N137" s="159" t="str">
        <f t="shared" si="63"/>
        <v>0.807085432802351+0.0485199433787707j</v>
      </c>
      <c r="O137" s="159" t="str">
        <f t="shared" si="64"/>
        <v>1.56411524834831+5.40756262054408j</v>
      </c>
      <c r="P137" s="159" t="str">
        <f t="shared" si="65"/>
        <v>10.000337252177+34.5738269445376j</v>
      </c>
      <c r="R137" s="159">
        <f t="shared" si="66"/>
        <v>31.968031968031973</v>
      </c>
      <c r="S137" s="159" t="str">
        <f t="shared" si="67"/>
        <v>1+0.00063423165280608j</v>
      </c>
      <c r="T137" s="159" t="str">
        <f t="shared" si="68"/>
        <v>0.807085432802351+0.0485199433787707j</v>
      </c>
      <c r="U137" s="159" t="str">
        <f t="shared" si="69"/>
        <v>1.23461142255843-0.0734358994173882j</v>
      </c>
      <c r="V137" s="159" t="str">
        <f t="shared" si="70"/>
        <v>39.4680974244453-2.34760118017625j</v>
      </c>
      <c r="X137" s="159" t="str">
        <f t="shared" si="71"/>
        <v>0.416503356231151+1.34795549259462j</v>
      </c>
      <c r="Y137" s="159">
        <f t="shared" si="72"/>
        <v>2.9895324846772291</v>
      </c>
      <c r="Z137" s="159">
        <f t="shared" si="73"/>
        <v>-107.17057123020491</v>
      </c>
      <c r="AB137" s="159" t="str">
        <f t="shared" si="74"/>
        <v>17.3829982049968-1.03395779791951j</v>
      </c>
      <c r="AC137" s="159">
        <f t="shared" si="75"/>
        <v>24.817831872407424</v>
      </c>
      <c r="AD137" s="159">
        <f t="shared" si="76"/>
        <v>176.5960014419187</v>
      </c>
      <c r="AF137" s="159" t="str">
        <f t="shared" si="77"/>
        <v>6.07546859682603-6.51139937122194j</v>
      </c>
      <c r="AG137" s="159">
        <f t="shared" si="78"/>
        <v>18.99325980968786</v>
      </c>
      <c r="AH137" s="159">
        <f t="shared" si="79"/>
        <v>133.01642361266076</v>
      </c>
      <c r="AJ137" s="159" t="str">
        <f t="shared" si="80"/>
        <v>155572.550366011-17316.4157741061j</v>
      </c>
      <c r="AK137" s="159" t="str">
        <f t="shared" si="81"/>
        <v>30000-0.0000163088139292992j</v>
      </c>
      <c r="AL137" s="159" t="str">
        <f t="shared" si="95"/>
        <v>10000-1226330.74892525j</v>
      </c>
      <c r="AM137" s="159" t="str">
        <f t="shared" si="96"/>
        <v>963.108660505494-380590.821100917j</v>
      </c>
      <c r="AN137" s="159" t="str">
        <f t="shared" si="97"/>
        <v>10963.1086605055-380590.821100917j</v>
      </c>
      <c r="AO137" s="159" t="str">
        <f t="shared" si="98"/>
        <v>29748.3964712362-2337.6642161447j</v>
      </c>
      <c r="AP137" s="159" t="str">
        <f t="shared" si="99"/>
        <v>0.160266337062026+0.0149550055112694j</v>
      </c>
      <c r="AQ137" s="159" t="str">
        <f t="shared" si="82"/>
        <v>1+1.81027834615221j</v>
      </c>
      <c r="AR137" s="159">
        <f t="shared" si="83"/>
        <v>-3.9205821179393198E-7</v>
      </c>
      <c r="AS137" s="159" t="str">
        <f t="shared" si="84"/>
        <v>0.0000493792831880011j</v>
      </c>
      <c r="AT137" s="159" t="str">
        <f t="shared" si="85"/>
        <v>-3.92058211793932E-07+0.0000493792831880011j</v>
      </c>
      <c r="AU137" s="159" t="str">
        <f t="shared" si="86"/>
        <v>5.474639022772-3.0811783274824j</v>
      </c>
      <c r="AW137" s="159" t="str">
        <f t="shared" si="100"/>
        <v>0.918149654107929-0.423505720787287j</v>
      </c>
      <c r="AX137" s="159">
        <f t="shared" si="87"/>
        <v>9.6021003644009256E-2</v>
      </c>
      <c r="AY137" s="159">
        <f t="shared" si="88"/>
        <v>155.23801311651911</v>
      </c>
      <c r="AZ137" s="159" t="str">
        <f t="shared" si="89"/>
        <v>15.5223067468051-8.31112717877329j</v>
      </c>
      <c r="BA137" s="159">
        <f t="shared" si="90"/>
        <v>24.913852876051472</v>
      </c>
      <c r="BB137" s="159">
        <f t="shared" si="91"/>
        <v>151.8340145584379</v>
      </c>
      <c r="BD137" s="159" t="str">
        <f t="shared" si="92"/>
        <v>2.82057450667619-8.55143478766538j</v>
      </c>
      <c r="BE137" s="159">
        <f t="shared" si="93"/>
        <v>19.089280813331907</v>
      </c>
      <c r="BF137" s="159">
        <f t="shared" si="94"/>
        <v>108.25443672917994</v>
      </c>
      <c r="BH137" s="159">
        <f t="shared" si="101"/>
        <v>-18.089280813331907</v>
      </c>
      <c r="BI137" s="169">
        <f t="shared" si="102"/>
        <v>-108.25443672917994</v>
      </c>
      <c r="BN137" s="165"/>
      <c r="BO137" s="165"/>
      <c r="BP137" s="165"/>
    </row>
    <row r="138" spans="1:68" s="159" customFormat="1">
      <c r="A138" s="159">
        <v>74</v>
      </c>
      <c r="B138" s="159">
        <f t="shared" si="52"/>
        <v>3019.9517204020162</v>
      </c>
      <c r="C138" s="159" t="str">
        <f t="shared" si="53"/>
        <v>18974.9162780217j</v>
      </c>
      <c r="D138" s="159">
        <f t="shared" si="54"/>
        <v>0.99985407826570305</v>
      </c>
      <c r="E138" s="159" t="str">
        <f t="shared" si="55"/>
        <v>-0.0189749162780217j</v>
      </c>
      <c r="F138" s="159" t="str">
        <f t="shared" si="56"/>
        <v>0.999854078265703-0.0189749162780217j</v>
      </c>
      <c r="G138" s="159">
        <f t="shared" si="57"/>
        <v>2.9628848586949857E-4</v>
      </c>
      <c r="H138" s="159">
        <f t="shared" si="58"/>
        <v>-1.087210778026485</v>
      </c>
      <c r="J138" s="159">
        <f t="shared" si="59"/>
        <v>6.3936063936063938</v>
      </c>
      <c r="K138" s="159" t="str">
        <f t="shared" si="60"/>
        <v>1+4.64951861018505j</v>
      </c>
      <c r="L138" s="159">
        <f t="shared" si="61"/>
        <v>0.78847338334937433</v>
      </c>
      <c r="M138" s="159" t="str">
        <f t="shared" si="62"/>
        <v>0.0508066178617246j</v>
      </c>
      <c r="N138" s="159" t="str">
        <f t="shared" si="63"/>
        <v>0.788473383349374+0.0508066178617246j</v>
      </c>
      <c r="O138" s="159" t="str">
        <f t="shared" si="64"/>
        <v>1.64143253868535+5.79109335948631j</v>
      </c>
      <c r="P138" s="159" t="str">
        <f t="shared" si="65"/>
        <v>10.4946735740122+37.0259715291832j</v>
      </c>
      <c r="R138" s="159">
        <f t="shared" si="66"/>
        <v>31.968031968031973</v>
      </c>
      <c r="S138" s="159" t="str">
        <f t="shared" si="67"/>
        <v>1+0.000664122069730759j</v>
      </c>
      <c r="T138" s="159" t="str">
        <f t="shared" si="68"/>
        <v>0.788473383349374+0.0508066178617246j</v>
      </c>
      <c r="U138" s="159" t="str">
        <f t="shared" si="69"/>
        <v>1.26308347113282-0.0805466341879471j</v>
      </c>
      <c r="V138" s="159" t="str">
        <f t="shared" si="70"/>
        <v>40.3782927834668-2.57491737663767j</v>
      </c>
      <c r="X138" s="159" t="str">
        <f t="shared" si="71"/>
        <v>0.438853958414474+1.44334179447993j</v>
      </c>
      <c r="Y138" s="159">
        <f t="shared" si="72"/>
        <v>3.5713949978981319</v>
      </c>
      <c r="Z138" s="159">
        <f t="shared" si="73"/>
        <v>-106.91210808241806</v>
      </c>
      <c r="AB138" s="159" t="str">
        <f t="shared" si="74"/>
        <v>17.7838770242091-1.13407503925905j</v>
      </c>
      <c r="AC138" s="159">
        <f t="shared" si="75"/>
        <v>25.018154106256709</v>
      </c>
      <c r="AD138" s="159">
        <f t="shared" si="76"/>
        <v>176.35119786880441</v>
      </c>
      <c r="AF138" s="159" t="str">
        <f t="shared" si="77"/>
        <v>5.76654265478494-6.57270809678463j</v>
      </c>
      <c r="AG138" s="159">
        <f t="shared" si="78"/>
        <v>18.833974055707571</v>
      </c>
      <c r="AH138" s="159">
        <f t="shared" si="79"/>
        <v>131.26198329771566</v>
      </c>
      <c r="AJ138" s="159" t="str">
        <f t="shared" si="80"/>
        <v>155389.085813164-18111.1298853084j</v>
      </c>
      <c r="AK138" s="159" t="str">
        <f t="shared" si="81"/>
        <v>30000-0.0000170774246502195j</v>
      </c>
      <c r="AL138" s="159" t="str">
        <f t="shared" si="95"/>
        <v>10000-1171136.77323371j</v>
      </c>
      <c r="AM138" s="159" t="str">
        <f t="shared" si="96"/>
        <v>963.105721921139-363461.911474393j</v>
      </c>
      <c r="AN138" s="159" t="str">
        <f t="shared" si="97"/>
        <v>10963.1057219211-363461.911474393j</v>
      </c>
      <c r="AO138" s="159" t="str">
        <f t="shared" si="98"/>
        <v>29724.4274453785-2445.13020599913j</v>
      </c>
      <c r="AP138" s="159" t="str">
        <f t="shared" si="99"/>
        <v>0.160292023848285+0.0156593341858372j</v>
      </c>
      <c r="AQ138" s="159" t="str">
        <f t="shared" si="82"/>
        <v>1+1.89559413617437j</v>
      </c>
      <c r="AR138" s="159">
        <f t="shared" si="83"/>
        <v>-4.3953110046526264E-7</v>
      </c>
      <c r="AS138" s="159" t="str">
        <f t="shared" si="84"/>
        <v>0.0000517064571084464j</v>
      </c>
      <c r="AT138" s="159" t="str">
        <f t="shared" si="85"/>
        <v>-4.39531100465263E-07+0.0000517064571084464j</v>
      </c>
      <c r="AU138" s="159" t="str">
        <f t="shared" si="86"/>
        <v>5.47404730213393-2.9475238211556j</v>
      </c>
      <c r="AW138" s="159" t="str">
        <f t="shared" si="100"/>
        <v>0.918346854506096-0.398862267439997j</v>
      </c>
      <c r="AX138" s="159">
        <f t="shared" si="87"/>
        <v>1.0636098522807402E-2</v>
      </c>
      <c r="AY138" s="159">
        <f t="shared" si="88"/>
        <v>156.5234220371344</v>
      </c>
      <c r="AZ138" s="159" t="str">
        <f t="shared" si="89"/>
        <v>15.8794277844997-8.13479175882754j</v>
      </c>
      <c r="BA138" s="159">
        <f t="shared" si="90"/>
        <v>25.028790204779522</v>
      </c>
      <c r="BB138" s="159">
        <f t="shared" si="91"/>
        <v>152.8746199059388</v>
      </c>
      <c r="BD138" s="159" t="str">
        <f t="shared" si="92"/>
        <v>2.67408105369224-8.33608208484591j</v>
      </c>
      <c r="BE138" s="159">
        <f t="shared" si="93"/>
        <v>18.844610154230391</v>
      </c>
      <c r="BF138" s="159">
        <f t="shared" si="94"/>
        <v>107.78540533485004</v>
      </c>
      <c r="BH138" s="159">
        <f t="shared" si="101"/>
        <v>-17.844610154230391</v>
      </c>
      <c r="BI138" s="169">
        <f t="shared" si="102"/>
        <v>-107.78540533485004</v>
      </c>
      <c r="BN138" s="165"/>
      <c r="BO138" s="165"/>
      <c r="BP138" s="165"/>
    </row>
    <row r="139" spans="1:68" s="159" customFormat="1">
      <c r="A139" s="159">
        <v>75</v>
      </c>
      <c r="B139" s="159">
        <f t="shared" si="52"/>
        <v>3162.2776601683804</v>
      </c>
      <c r="C139" s="159" t="str">
        <f t="shared" si="53"/>
        <v>19869.1765315922j</v>
      </c>
      <c r="D139" s="159">
        <f t="shared" si="54"/>
        <v>0.99983999999999995</v>
      </c>
      <c r="E139" s="159" t="str">
        <f t="shared" si="55"/>
        <v>-0.0198691765315922j</v>
      </c>
      <c r="F139" s="159" t="str">
        <f t="shared" si="56"/>
        <v>0.99984-0.0198691765315922j</v>
      </c>
      <c r="G139" s="159">
        <f t="shared" si="57"/>
        <v>3.2488257723704817E-4</v>
      </c>
      <c r="H139" s="159">
        <f t="shared" si="58"/>
        <v>-1.1384522875125238</v>
      </c>
      <c r="J139" s="159">
        <f t="shared" si="59"/>
        <v>6.3936063936063938</v>
      </c>
      <c r="K139" s="159" t="str">
        <f t="shared" si="60"/>
        <v>1+4.86864367141869j</v>
      </c>
      <c r="L139" s="159">
        <f t="shared" si="61"/>
        <v>0.76806567693865213</v>
      </c>
      <c r="M139" s="159" t="str">
        <f t="shared" si="62"/>
        <v>0.0532010599929244j</v>
      </c>
      <c r="N139" s="159" t="str">
        <f t="shared" si="63"/>
        <v>0.768065676938652+0.0532010599929244j</v>
      </c>
      <c r="O139" s="159" t="str">
        <f t="shared" si="64"/>
        <v>1.73272645620088+6.2188181697026j</v>
      </c>
      <c r="P139" s="159" t="str">
        <f t="shared" si="65"/>
        <v>11.0783709487369+39.7606756104862j</v>
      </c>
      <c r="R139" s="159">
        <f t="shared" si="66"/>
        <v>31.968031968031973</v>
      </c>
      <c r="S139" s="159" t="str">
        <f t="shared" si="67"/>
        <v>1+0.000695421178605727j</v>
      </c>
      <c r="T139" s="159" t="str">
        <f t="shared" si="68"/>
        <v>0.768065676938652+0.0532010599929244j</v>
      </c>
      <c r="U139" s="159" t="str">
        <f t="shared" si="69"/>
        <v>1.29581760952657-0.0888510595574445j</v>
      </c>
      <c r="V139" s="159" t="str">
        <f t="shared" si="70"/>
        <v>41.4247387660842-2.8403935123259j</v>
      </c>
      <c r="X139" s="159" t="str">
        <f t="shared" si="71"/>
        <v>0.465152308300976+1.5496777915415j</v>
      </c>
      <c r="Y139" s="159">
        <f t="shared" si="72"/>
        <v>4.1794773243687482</v>
      </c>
      <c r="Z139" s="159">
        <f t="shared" si="73"/>
        <v>-106.70768892961911</v>
      </c>
      <c r="AB139" s="159" t="str">
        <f t="shared" si="74"/>
        <v>18.2447649267052-1.25099912456547j</v>
      </c>
      <c r="AC139" s="159">
        <f t="shared" si="75"/>
        <v>25.24313599663315</v>
      </c>
      <c r="AD139" s="159">
        <f t="shared" si="76"/>
        <v>176.07750737879377</v>
      </c>
      <c r="AF139" s="159" t="str">
        <f t="shared" si="77"/>
        <v>5.45113749439101-6.61945231448939j</v>
      </c>
      <c r="AG139" s="159">
        <f t="shared" si="78"/>
        <v>18.664766674962731</v>
      </c>
      <c r="AH139" s="159">
        <f t="shared" si="79"/>
        <v>129.47155117038099</v>
      </c>
      <c r="AJ139" s="159" t="str">
        <f t="shared" si="80"/>
        <v>155188.417638459-18940.1903086667j</v>
      </c>
      <c r="AK139" s="159" t="str">
        <f t="shared" si="81"/>
        <v>30000-0.000017882258878433j</v>
      </c>
      <c r="AL139" s="159" t="str">
        <f t="shared" si="95"/>
        <v>10000-1118426.93565527j</v>
      </c>
      <c r="AM139" s="159" t="str">
        <f t="shared" si="96"/>
        <v>963.102499848066-347103.953288955j</v>
      </c>
      <c r="AN139" s="159" t="str">
        <f t="shared" si="97"/>
        <v>10963.1024998481-347103.953288955j</v>
      </c>
      <c r="AO139" s="159" t="str">
        <f t="shared" si="98"/>
        <v>29698.2068178475-2557.26739121311j</v>
      </c>
      <c r="AP139" s="159" t="str">
        <f t="shared" si="99"/>
        <v>0.160320187043197+0.0163967859147214j</v>
      </c>
      <c r="AQ139" s="159" t="str">
        <f t="shared" si="82"/>
        <v>1+1.98493073550606j</v>
      </c>
      <c r="AR139" s="159">
        <f t="shared" si="83"/>
        <v>-4.9158408780129567E-7</v>
      </c>
      <c r="AS139" s="159" t="str">
        <f t="shared" si="84"/>
        <v>0.0000541433073568234j</v>
      </c>
      <c r="AT139" s="159" t="str">
        <f t="shared" si="85"/>
        <v>-4.91584087801296E-07+0.0000541433073568234j</v>
      </c>
      <c r="AU139" s="159" t="str">
        <f t="shared" si="86"/>
        <v>5.4734979838821-2.82012111870454j</v>
      </c>
      <c r="AW139" s="159" t="str">
        <f t="shared" si="100"/>
        <v>0.918578953932762-0.37506646468752j</v>
      </c>
      <c r="AX139" s="159">
        <f t="shared" si="87"/>
        <v>-6.8009777787147632E-2</v>
      </c>
      <c r="AY139" s="159">
        <f t="shared" si="88"/>
        <v>157.7892354054967</v>
      </c>
      <c r="AZ139" s="159" t="str">
        <f t="shared" si="89"/>
        <v>16.2900492621441-7.99214094732834j</v>
      </c>
      <c r="BA139" s="159">
        <f t="shared" si="90"/>
        <v>25.175126218846025</v>
      </c>
      <c r="BB139" s="159">
        <f t="shared" si="91"/>
        <v>153.86674278429049</v>
      </c>
      <c r="BD139" s="159" t="str">
        <f t="shared" si="92"/>
        <v>2.5245655995782-8.12502845119831j</v>
      </c>
      <c r="BE139" s="159">
        <f t="shared" si="93"/>
        <v>18.596756897175609</v>
      </c>
      <c r="BF139" s="159">
        <f t="shared" si="94"/>
        <v>107.26078657587767</v>
      </c>
      <c r="BH139" s="159">
        <f t="shared" si="101"/>
        <v>-17.596756897175609</v>
      </c>
      <c r="BI139" s="169">
        <f t="shared" si="102"/>
        <v>-107.26078657587767</v>
      </c>
      <c r="BN139" s="165"/>
      <c r="BO139" s="165"/>
      <c r="BP139" s="165"/>
    </row>
    <row r="140" spans="1:68" s="159" customFormat="1">
      <c r="A140" s="159">
        <v>76</v>
      </c>
      <c r="B140" s="159">
        <f t="shared" si="52"/>
        <v>3311.3112148259129</v>
      </c>
      <c r="C140" s="159" t="str">
        <f t="shared" si="53"/>
        <v>20805.5819724932j</v>
      </c>
      <c r="D140" s="159">
        <f t="shared" si="54"/>
        <v>0.99982456348861704</v>
      </c>
      <c r="E140" s="159" t="str">
        <f t="shared" si="55"/>
        <v>-0.0208055819724932j</v>
      </c>
      <c r="F140" s="159" t="str">
        <f t="shared" si="56"/>
        <v>0.999824563488617-0.0208055819724932j</v>
      </c>
      <c r="G140" s="159">
        <f t="shared" si="57"/>
        <v>3.5623713708179201E-4</v>
      </c>
      <c r="H140" s="159">
        <f t="shared" si="58"/>
        <v>-1.1921091561675041</v>
      </c>
      <c r="J140" s="159">
        <f t="shared" si="59"/>
        <v>6.3936063936063938</v>
      </c>
      <c r="K140" s="159" t="str">
        <f t="shared" si="60"/>
        <v>1+5.09809577862987j</v>
      </c>
      <c r="L140" s="159">
        <f t="shared" si="61"/>
        <v>0.74568907182600119</v>
      </c>
      <c r="M140" s="159" t="str">
        <f t="shared" si="62"/>
        <v>0.0557083487051599j</v>
      </c>
      <c r="N140" s="159" t="str">
        <f t="shared" si="63"/>
        <v>0.745689071826001+0.0557083487051599j</v>
      </c>
      <c r="O140" s="159" t="str">
        <f t="shared" si="64"/>
        <v>1.84151879579976+6.69918334081742j</v>
      </c>
      <c r="P140" s="159" t="str">
        <f t="shared" si="65"/>
        <v>11.7739463467717+42.8319414397917j</v>
      </c>
      <c r="R140" s="159">
        <f t="shared" si="66"/>
        <v>31.968031968031973</v>
      </c>
      <c r="S140" s="159" t="str">
        <f t="shared" si="67"/>
        <v>1+0.000728195369037262j</v>
      </c>
      <c r="T140" s="159" t="str">
        <f t="shared" si="68"/>
        <v>0.745689071826001+0.0557083487051599j</v>
      </c>
      <c r="U140" s="159" t="str">
        <f t="shared" si="69"/>
        <v>1.33367102545684-0.0986582986859799j</v>
      </c>
      <c r="V140" s="159" t="str">
        <f t="shared" si="70"/>
        <v>42.6348379766422-3.15391164630505j</v>
      </c>
      <c r="X140" s="159" t="str">
        <f t="shared" si="71"/>
        <v>0.496370472119611+1.66904745119231j</v>
      </c>
      <c r="Y140" s="159">
        <f t="shared" si="72"/>
        <v>4.8174395583532794</v>
      </c>
      <c r="Z140" s="159">
        <f t="shared" si="73"/>
        <v>-106.56234407130144</v>
      </c>
      <c r="AB140" s="159" t="str">
        <f t="shared" si="74"/>
        <v>18.7777308859908-1.38908242515087j</v>
      </c>
      <c r="AC140" s="159">
        <f t="shared" si="75"/>
        <v>25.496563314539621</v>
      </c>
      <c r="AD140" s="159">
        <f t="shared" si="76"/>
        <v>175.76925145042722</v>
      </c>
      <c r="AF140" s="159" t="str">
        <f t="shared" si="77"/>
        <v>5.13050706275911-6.65085441540148j</v>
      </c>
      <c r="AG140" s="159">
        <f t="shared" si="78"/>
        <v>18.485337495144648</v>
      </c>
      <c r="AH140" s="159">
        <f t="shared" si="79"/>
        <v>127.6467994004358</v>
      </c>
      <c r="AJ140" s="159" t="str">
        <f t="shared" si="80"/>
        <v>154968.984216885-19804.7707622757j</v>
      </c>
      <c r="AK140" s="159" t="str">
        <f t="shared" si="81"/>
        <v>30000-0.0000187250237752439j</v>
      </c>
      <c r="AL140" s="159" t="str">
        <f t="shared" si="95"/>
        <v>10000-1068089.43155745j</v>
      </c>
      <c r="AM140" s="159" t="str">
        <f t="shared" si="96"/>
        <v>963.098966939985-331482.249121641j</v>
      </c>
      <c r="AN140" s="159" t="str">
        <f t="shared" si="97"/>
        <v>10963.09896694-331482.249121641j</v>
      </c>
      <c r="AO140" s="159" t="str">
        <f t="shared" si="98"/>
        <v>29669.5294068842-2674.23944689169j</v>
      </c>
      <c r="AP140" s="159" t="str">
        <f t="shared" si="99"/>
        <v>0.160351065201101+0.0171689112394563j</v>
      </c>
      <c r="AQ140" s="159" t="str">
        <f t="shared" si="82"/>
        <v>1+2.07847763905207j</v>
      </c>
      <c r="AR140" s="159">
        <f t="shared" si="83"/>
        <v>-5.4865905345937979E-7</v>
      </c>
      <c r="AS140" s="159" t="str">
        <f t="shared" si="84"/>
        <v>0.0000566950028192242j</v>
      </c>
      <c r="AT140" s="159" t="str">
        <f t="shared" si="85"/>
        <v>-5.4865905345938E-07+0.0000566950028192242j</v>
      </c>
      <c r="AU140" s="159" t="str">
        <f t="shared" si="86"/>
        <v>5.47298640525895-2.69869998998968j</v>
      </c>
      <c r="AW140" s="159" t="str">
        <f t="shared" si="100"/>
        <v>0.918847910460223-0.352068084856493j</v>
      </c>
      <c r="AX140" s="159">
        <f t="shared" si="87"/>
        <v>-0.14019931603075952</v>
      </c>
      <c r="AY140" s="159">
        <f t="shared" si="88"/>
        <v>159.03503985431092</v>
      </c>
      <c r="AZ140" s="159" t="str">
        <f t="shared" si="89"/>
        <v>16.7648271986464-7.88739523478831j</v>
      </c>
      <c r="BA140" s="159">
        <f t="shared" si="90"/>
        <v>25.356363998508886</v>
      </c>
      <c r="BB140" s="159">
        <f t="shared" si="91"/>
        <v>154.80429130473814</v>
      </c>
      <c r="BD140" s="159" t="str">
        <f t="shared" si="92"/>
        <v>2.37260211752788-7.91741147829513j</v>
      </c>
      <c r="BE140" s="159">
        <f t="shared" si="93"/>
        <v>18.345138179113913</v>
      </c>
      <c r="BF140" s="159">
        <f t="shared" si="94"/>
        <v>106.68183925474671</v>
      </c>
      <c r="BH140" s="159">
        <f t="shared" si="101"/>
        <v>-17.345138179113913</v>
      </c>
      <c r="BI140" s="169">
        <f t="shared" si="102"/>
        <v>-106.68183925474671</v>
      </c>
      <c r="BN140" s="165"/>
      <c r="BO140" s="165"/>
      <c r="BP140" s="165"/>
    </row>
    <row r="141" spans="1:68" s="159" customFormat="1">
      <c r="A141" s="159">
        <v>77</v>
      </c>
      <c r="B141" s="159">
        <f t="shared" si="52"/>
        <v>3467.3685045253178</v>
      </c>
      <c r="C141" s="159" t="str">
        <f t="shared" si="53"/>
        <v>21786.1188422107j</v>
      </c>
      <c r="D141" s="159">
        <f t="shared" si="54"/>
        <v>0.99980763769046122</v>
      </c>
      <c r="E141" s="159" t="str">
        <f t="shared" si="55"/>
        <v>-0.0217861188422107j</v>
      </c>
      <c r="F141" s="159" t="str">
        <f t="shared" si="56"/>
        <v>0.999807637690461-0.0217861188422107j</v>
      </c>
      <c r="G141" s="159">
        <f t="shared" si="57"/>
        <v>3.9061884679068067E-4</v>
      </c>
      <c r="H141" s="159">
        <f t="shared" si="58"/>
        <v>-1.2482952787332346</v>
      </c>
      <c r="J141" s="159">
        <f t="shared" si="59"/>
        <v>6.3936063936063938</v>
      </c>
      <c r="K141" s="159" t="str">
        <f t="shared" si="60"/>
        <v>1+5.3383616305011j</v>
      </c>
      <c r="L141" s="159">
        <f t="shared" si="61"/>
        <v>0.72115361221627661</v>
      </c>
      <c r="M141" s="159" t="str">
        <f t="shared" si="62"/>
        <v>0.0583338022939471j</v>
      </c>
      <c r="N141" s="159" t="str">
        <f t="shared" si="63"/>
        <v>0.721153612216277+0.0583338022939471j</v>
      </c>
      <c r="O141" s="159" t="str">
        <f t="shared" si="64"/>
        <v>1.97254797236784+7.24297198070358j</v>
      </c>
      <c r="P141" s="159" t="str">
        <f t="shared" si="65"/>
        <v>12.6116953278264+46.3087119645384j</v>
      </c>
      <c r="R141" s="159">
        <f t="shared" si="66"/>
        <v>31.968031968031973</v>
      </c>
      <c r="S141" s="159" t="str">
        <f t="shared" si="67"/>
        <v>1+0.000762514159477374j</v>
      </c>
      <c r="T141" s="159" t="str">
        <f t="shared" si="68"/>
        <v>0.721153612216277+0.0583338022939471j</v>
      </c>
      <c r="U141" s="159" t="str">
        <f t="shared" si="69"/>
        <v>1.37773793821224-0.110387269775183j</v>
      </c>
      <c r="V141" s="159" t="str">
        <f t="shared" si="70"/>
        <v>44.0435704523394-3.52886376903682j</v>
      </c>
      <c r="X141" s="159" t="str">
        <f t="shared" si="71"/>
        <v>0.533810139158547+1.80410875041973j</v>
      </c>
      <c r="Y141" s="159">
        <f t="shared" si="72"/>
        <v>5.4897401952882028</v>
      </c>
      <c r="Z141" s="159">
        <f t="shared" si="73"/>
        <v>-106.48273681018456</v>
      </c>
      <c r="AB141" s="159" t="str">
        <f t="shared" si="74"/>
        <v>19.3981812166216-1.55422319710937j</v>
      </c>
      <c r="AC141" s="159">
        <f t="shared" si="75"/>
        <v>25.783010898565006</v>
      </c>
      <c r="AD141" s="159">
        <f t="shared" si="76"/>
        <v>175.41912694770298</v>
      </c>
      <c r="AF141" s="159" t="str">
        <f t="shared" si="77"/>
        <v>4.80601102535085-6.66626819155588j</v>
      </c>
      <c r="AG141" s="159">
        <f t="shared" si="78"/>
        <v>18.295409523691614</v>
      </c>
      <c r="AH141" s="159">
        <f t="shared" si="79"/>
        <v>125.78952061142121</v>
      </c>
      <c r="AJ141" s="159" t="str">
        <f t="shared" si="80"/>
        <v>154729.09239201-20706.0382325144j</v>
      </c>
      <c r="AK141" s="159" t="str">
        <f t="shared" si="81"/>
        <v>30000-0.0000196075069579896j</v>
      </c>
      <c r="AL141" s="159" t="str">
        <f t="shared" si="95"/>
        <v>10000-1020017.48834522j</v>
      </c>
      <c r="AM141" s="159" t="str">
        <f t="shared" si="96"/>
        <v>963.095093213087-316563.66324291j</v>
      </c>
      <c r="AN141" s="159" t="str">
        <f t="shared" si="97"/>
        <v>10963.0950932131-316563.66324291j</v>
      </c>
      <c r="AO141" s="159" t="str">
        <f t="shared" si="98"/>
        <v>29638.1725891597-2796.20985695818j</v>
      </c>
      <c r="AP141" s="159" t="str">
        <f t="shared" si="99"/>
        <v>0.160384919817853+0.0179773322231084j</v>
      </c>
      <c r="AQ141" s="159" t="str">
        <f t="shared" si="82"/>
        <v>1+2.17643327233685j</v>
      </c>
      <c r="AR141" s="159">
        <f t="shared" si="83"/>
        <v>-6.1124050884908166E-7</v>
      </c>
      <c r="AS141" s="159" t="str">
        <f t="shared" si="84"/>
        <v>0.0000593669559838357j</v>
      </c>
      <c r="AT141" s="159" t="str">
        <f t="shared" si="85"/>
        <v>-6.11240508849082E-07+0.0000593669559838357j</v>
      </c>
      <c r="AU141" s="159" t="str">
        <f t="shared" si="86"/>
        <v>5.47250822393262-2.58300288721608j</v>
      </c>
      <c r="AW141" s="159" t="str">
        <f t="shared" si="100"/>
        <v>0.919155992566201-0.329818627093221j</v>
      </c>
      <c r="AX141" s="159">
        <f t="shared" si="87"/>
        <v>-0.20620976049889436</v>
      </c>
      <c r="AY141" s="159">
        <f t="shared" si="88"/>
        <v>160.26060766670241</v>
      </c>
      <c r="AZ141" s="159" t="str">
        <f t="shared" si="89"/>
        <v>17.3173427490758-7.82645506238013j</v>
      </c>
      <c r="BA141" s="159">
        <f t="shared" si="90"/>
        <v>25.576801138066102</v>
      </c>
      <c r="BB141" s="159">
        <f t="shared" si="91"/>
        <v>155.67973461440536</v>
      </c>
      <c r="BD141" s="159" t="str">
        <f t="shared" si="92"/>
        <v>2.21881441151629-7.71245231449814j</v>
      </c>
      <c r="BE141" s="159">
        <f t="shared" si="93"/>
        <v>18.089199763192717</v>
      </c>
      <c r="BF141" s="159">
        <f t="shared" si="94"/>
        <v>106.05012827812359</v>
      </c>
      <c r="BH141" s="159">
        <f t="shared" si="101"/>
        <v>-17.089199763192717</v>
      </c>
      <c r="BI141" s="169">
        <f t="shared" si="102"/>
        <v>-106.05012827812359</v>
      </c>
      <c r="BN141" s="165"/>
      <c r="BO141" s="165"/>
      <c r="BP141" s="165"/>
    </row>
    <row r="142" spans="1:68" s="159" customFormat="1">
      <c r="A142" s="159">
        <v>78</v>
      </c>
      <c r="B142" s="159">
        <f t="shared" si="52"/>
        <v>3630.7805477010156</v>
      </c>
      <c r="C142" s="159" t="str">
        <f t="shared" si="53"/>
        <v>22812.8669909085j</v>
      </c>
      <c r="D142" s="159">
        <f t="shared" si="54"/>
        <v>0.999789078921831</v>
      </c>
      <c r="E142" s="159" t="str">
        <f t="shared" si="55"/>
        <v>-0.0228128669909085j</v>
      </c>
      <c r="F142" s="159" t="str">
        <f t="shared" si="56"/>
        <v>0.999789078921831-0.0228128669909085j</v>
      </c>
      <c r="G142" s="159">
        <f t="shared" si="57"/>
        <v>4.2832018875207229E-4</v>
      </c>
      <c r="H142" s="159">
        <f t="shared" si="58"/>
        <v>-1.307129926876784</v>
      </c>
      <c r="J142" s="159">
        <f t="shared" si="59"/>
        <v>6.3936063936063938</v>
      </c>
      <c r="K142" s="159" t="str">
        <f t="shared" si="60"/>
        <v>1+5.58995086311726j</v>
      </c>
      <c r="L142" s="159">
        <f t="shared" si="61"/>
        <v>0.69425101572185788</v>
      </c>
      <c r="M142" s="159" t="str">
        <f t="shared" si="62"/>
        <v>0.0610829896983492j</v>
      </c>
      <c r="N142" s="159" t="str">
        <f t="shared" si="63"/>
        <v>0.694251015721858+0.0610829896983492j</v>
      </c>
      <c r="O142" s="159" t="str">
        <f t="shared" si="64"/>
        <v>2.13232170676618+7.86416174356258j</v>
      </c>
      <c r="P142" s="159" t="str">
        <f t="shared" si="65"/>
        <v>13.6332256976059+50.2803548039965j</v>
      </c>
      <c r="R142" s="159">
        <f t="shared" si="66"/>
        <v>31.968031968031973</v>
      </c>
      <c r="S142" s="159" t="str">
        <f t="shared" si="67"/>
        <v>1+0.000798450344681797j</v>
      </c>
      <c r="T142" s="159" t="str">
        <f t="shared" si="68"/>
        <v>0.694251015721858+0.0610829896983492j</v>
      </c>
      <c r="U142" s="159" t="str">
        <f t="shared" si="69"/>
        <v>1.42943685786263-0.12461750081651j</v>
      </c>
      <c r="V142" s="159" t="str">
        <f t="shared" si="70"/>
        <v>45.6962831684357-3.98377624987844j</v>
      </c>
      <c r="X142" s="159" t="str">
        <f t="shared" si="71"/>
        <v>0.579250226659963+1.958303264525j</v>
      </c>
      <c r="Y142" s="159">
        <f t="shared" si="72"/>
        <v>6.201863032642482</v>
      </c>
      <c r="Z142" s="159">
        <f t="shared" si="73"/>
        <v>-106.47778989473909</v>
      </c>
      <c r="AB142" s="159" t="str">
        <f t="shared" si="74"/>
        <v>20.126088160509-1.75458103936509j</v>
      </c>
      <c r="AC142" s="159">
        <f t="shared" si="75"/>
        <v>26.108070099146179</v>
      </c>
      <c r="AD142" s="159">
        <f t="shared" si="76"/>
        <v>175.01758325024116</v>
      </c>
      <c r="AF142" s="159" t="str">
        <f t="shared" si="77"/>
        <v>4.47909683386683-6.66519517525232j</v>
      </c>
      <c r="AG142" s="159">
        <f t="shared" si="78"/>
        <v>18.09473083916647</v>
      </c>
      <c r="AH142" s="159">
        <f t="shared" si="79"/>
        <v>123.9016081202349</v>
      </c>
      <c r="AJ142" s="159" t="str">
        <f t="shared" si="80"/>
        <v>154466.908433476-21645.1444272523j</v>
      </c>
      <c r="AK142" s="159" t="str">
        <f t="shared" si="81"/>
        <v>30000-0.0000205315802918177j</v>
      </c>
      <c r="AL142" s="159" t="str">
        <f t="shared" si="95"/>
        <v>10000-974109.138981891j</v>
      </c>
      <c r="AM142" s="159" t="str">
        <f t="shared" si="96"/>
        <v>963.090845791824-302316.551331286j</v>
      </c>
      <c r="AN142" s="159" t="str">
        <f t="shared" si="97"/>
        <v>10963.0908457918-302316.551331286j</v>
      </c>
      <c r="AO142" s="159" t="str">
        <f t="shared" si="98"/>
        <v>29603.8950675269-2923.34084892756j</v>
      </c>
      <c r="AP142" s="159" t="str">
        <f t="shared" si="99"/>
        <v>0.160422037529274+0.0188237455914734j</v>
      </c>
      <c r="AQ142" s="159" t="str">
        <f t="shared" si="82"/>
        <v>1+2.27900541239176j</v>
      </c>
      <c r="AR142" s="159">
        <f t="shared" si="83"/>
        <v>-6.7985971016680726E-7</v>
      </c>
      <c r="AS142" s="159" t="str">
        <f t="shared" si="84"/>
        <v>0.0000621648344215558j</v>
      </c>
      <c r="AT142" s="159" t="str">
        <f t="shared" si="85"/>
        <v>-6.79859710166807E-07+0.0000621648344215558j</v>
      </c>
      <c r="AU142" s="159" t="str">
        <f t="shared" si="86"/>
        <v>5.47205938115086-2.47278439869184j</v>
      </c>
      <c r="AW142" s="159" t="str">
        <f t="shared" si="100"/>
        <v>0.91950579789197-0.308271219844072j</v>
      </c>
      <c r="AX142" s="159">
        <f t="shared" si="87"/>
        <v>-0.26631014819401766</v>
      </c>
      <c r="AY142" s="159">
        <f t="shared" si="88"/>
        <v>161.46588628347499</v>
      </c>
      <c r="AZ142" s="159" t="str">
        <f t="shared" si="89"/>
        <v>17.9651679151526-7.81764118649697j</v>
      </c>
      <c r="BA142" s="159">
        <f t="shared" si="90"/>
        <v>25.841759950952159</v>
      </c>
      <c r="BB142" s="159">
        <f t="shared" si="91"/>
        <v>156.48346953371612</v>
      </c>
      <c r="BD142" s="159" t="str">
        <f t="shared" si="92"/>
        <v>2.06386766088626-7.50946225250194j</v>
      </c>
      <c r="BE142" s="159">
        <f t="shared" si="93"/>
        <v>17.82842069097245</v>
      </c>
      <c r="BF142" s="159">
        <f t="shared" si="94"/>
        <v>105.3674944037099</v>
      </c>
      <c r="BH142" s="159">
        <f t="shared" si="101"/>
        <v>-16.82842069097245</v>
      </c>
      <c r="BI142" s="169">
        <f t="shared" si="102"/>
        <v>-105.3674944037099</v>
      </c>
      <c r="BN142" s="165"/>
      <c r="BO142" s="165"/>
      <c r="BP142" s="165"/>
    </row>
    <row r="143" spans="1:68" s="159" customFormat="1">
      <c r="A143" s="159">
        <v>79</v>
      </c>
      <c r="B143" s="159">
        <f t="shared" si="52"/>
        <v>3801.893963205614</v>
      </c>
      <c r="C143" s="159" t="str">
        <f t="shared" si="53"/>
        <v>23888.0042890683j</v>
      </c>
      <c r="D143" s="159">
        <f t="shared" si="54"/>
        <v>0.99976872963668062</v>
      </c>
      <c r="E143" s="159" t="str">
        <f t="shared" si="55"/>
        <v>-0.0238880042890683j</v>
      </c>
      <c r="F143" s="159" t="str">
        <f t="shared" si="56"/>
        <v>0.999768729636681-0.0238880042890683j</v>
      </c>
      <c r="G143" s="159">
        <f t="shared" si="57"/>
        <v>4.696619501695662E-4</v>
      </c>
      <c r="H143" s="159">
        <f t="shared" si="58"/>
        <v>-1.3687380039624186</v>
      </c>
      <c r="J143" s="159">
        <f t="shared" si="59"/>
        <v>6.3936063936063938</v>
      </c>
      <c r="K143" s="159" t="str">
        <f t="shared" si="60"/>
        <v>1+5.85339713097185j</v>
      </c>
      <c r="L143" s="159">
        <f t="shared" si="61"/>
        <v>0.66475290524609199</v>
      </c>
      <c r="M143" s="159" t="str">
        <f t="shared" si="62"/>
        <v>0.0639617423134404j</v>
      </c>
      <c r="N143" s="159" t="str">
        <f t="shared" si="63"/>
        <v>0.664752905246092+0.0639617423134404j</v>
      </c>
      <c r="O143" s="159" t="str">
        <f t="shared" si="64"/>
        <v>2.32998977646416+8.58118389596949j</v>
      </c>
      <c r="P143" s="159" t="str">
        <f t="shared" si="65"/>
        <v>14.8970375318388+54.8647122219828j</v>
      </c>
      <c r="R143" s="159">
        <f t="shared" si="66"/>
        <v>31.968031968031973</v>
      </c>
      <c r="S143" s="159" t="str">
        <f t="shared" si="67"/>
        <v>1+0.00083608015011739j</v>
      </c>
      <c r="T143" s="159" t="str">
        <f t="shared" si="68"/>
        <v>0.664752905246092+0.0639617423134404j</v>
      </c>
      <c r="U143" s="159" t="str">
        <f t="shared" si="69"/>
        <v>1.49063894928926-0.142169794913063j</v>
      </c>
      <c r="V143" s="159" t="str">
        <f t="shared" si="70"/>
        <v>47.6527935836727-4.54488854866935j</v>
      </c>
      <c r="X143" s="159" t="str">
        <f t="shared" si="71"/>
        <v>0.635178977529+2.13616318862819j</v>
      </c>
      <c r="Y143" s="159">
        <f t="shared" si="72"/>
        <v>6.9606316300641531</v>
      </c>
      <c r="Z143" s="159">
        <f t="shared" si="73"/>
        <v>-106.55962035904125</v>
      </c>
      <c r="AB143" s="159" t="str">
        <f t="shared" si="74"/>
        <v>20.9877972180897-2.00171263980152j</v>
      </c>
      <c r="AC143" s="159">
        <f t="shared" si="75"/>
        <v>26.47866377441844</v>
      </c>
      <c r="AD143" s="159">
        <f t="shared" si="76"/>
        <v>174.55189050862694</v>
      </c>
      <c r="AF143" s="159" t="str">
        <f t="shared" si="77"/>
        <v>4.15127892625711-6.64729795158288j</v>
      </c>
      <c r="AG143" s="159">
        <f t="shared" si="78"/>
        <v>17.88307597360085</v>
      </c>
      <c r="AH143" s="159">
        <f t="shared" si="79"/>
        <v>121.9850342940582</v>
      </c>
      <c r="AJ143" s="159" t="str">
        <f t="shared" si="80"/>
        <v>154180.448792213-22623.2158413736j</v>
      </c>
      <c r="AK143" s="159" t="str">
        <f t="shared" si="81"/>
        <v>30000-0.0000214992038601615j</v>
      </c>
      <c r="AL143" s="159" t="str">
        <f t="shared" si="95"/>
        <v>10000-930267.005703431j</v>
      </c>
      <c r="AM143" s="159" t="str">
        <f t="shared" si="96"/>
        <v>963.08618863008-288710.693351514j</v>
      </c>
      <c r="AN143" s="159" t="str">
        <f t="shared" si="97"/>
        <v>10963.0861886301-288710.693351514j</v>
      </c>
      <c r="AO143" s="159" t="str">
        <f t="shared" si="98"/>
        <v>29566.4356031815-3055.79215007462j</v>
      </c>
      <c r="AP143" s="159" t="str">
        <f t="shared" si="99"/>
        <v>0.160462732518714+0.019709925988472j</v>
      </c>
      <c r="AQ143" s="159" t="str">
        <f t="shared" si="82"/>
        <v>1+2.38641162847792j</v>
      </c>
      <c r="AR143" s="159">
        <f t="shared" si="83"/>
        <v>-7.5509916824844729E-7</v>
      </c>
      <c r="AS143" s="159" t="str">
        <f t="shared" si="84"/>
        <v>0.0000650945728076682j</v>
      </c>
      <c r="AT143" s="159" t="str">
        <f t="shared" si="85"/>
        <v>-7.55099168248447E-07+0.0000650945728076682j</v>
      </c>
      <c r="AU143" s="159" t="str">
        <f t="shared" si="86"/>
        <v>5.47163606730477-2.36781072822745j</v>
      </c>
      <c r="AW143" s="159" t="str">
        <f t="shared" si="100"/>
        <v>0.919900274694108-0.287380527562936j</v>
      </c>
      <c r="AX143" s="159">
        <f t="shared" si="87"/>
        <v>-0.32075884115208064</v>
      </c>
      <c r="AY143" s="159">
        <f t="shared" si="88"/>
        <v>162.65098641469103</v>
      </c>
      <c r="AZ143" s="159" t="str">
        <f t="shared" si="89"/>
        <v>18.7314271916894-7.87286024413063j</v>
      </c>
      <c r="BA143" s="159">
        <f t="shared" si="90"/>
        <v>26.157904933266366</v>
      </c>
      <c r="BB143" s="159">
        <f t="shared" si="91"/>
        <v>157.20287692331797</v>
      </c>
      <c r="BD143" s="159" t="str">
        <f t="shared" si="92"/>
        <v>1.90845863240186-7.30784793952334j</v>
      </c>
      <c r="BE143" s="159">
        <f t="shared" si="93"/>
        <v>17.562317132448769</v>
      </c>
      <c r="BF143" s="159">
        <f t="shared" si="94"/>
        <v>104.63602070874917</v>
      </c>
      <c r="BH143" s="159">
        <f t="shared" si="101"/>
        <v>-16.562317132448769</v>
      </c>
      <c r="BI143" s="169">
        <f t="shared" si="102"/>
        <v>-104.63602070874917</v>
      </c>
      <c r="BN143" s="165"/>
      <c r="BO143" s="165"/>
      <c r="BP143" s="165"/>
    </row>
    <row r="144" spans="1:68" s="159" customFormat="1">
      <c r="A144" s="159">
        <v>80</v>
      </c>
      <c r="B144" s="159">
        <f t="shared" si="52"/>
        <v>3981.0717055349755</v>
      </c>
      <c r="C144" s="159" t="str">
        <f t="shared" si="53"/>
        <v>25013.8112470457j</v>
      </c>
      <c r="D144" s="159">
        <f t="shared" si="54"/>
        <v>0.9997464170892062</v>
      </c>
      <c r="E144" s="159" t="str">
        <f t="shared" si="55"/>
        <v>-0.0250138112470457j</v>
      </c>
      <c r="F144" s="159" t="str">
        <f t="shared" si="56"/>
        <v>0.999746417089206-0.0250138112470457j</v>
      </c>
      <c r="G144" s="159">
        <f t="shared" si="57"/>
        <v>5.149959713562711E-4</v>
      </c>
      <c r="H144" s="159">
        <f t="shared" si="58"/>
        <v>-1.4332503120323383</v>
      </c>
      <c r="J144" s="159">
        <f t="shared" si="59"/>
        <v>6.3936063936063938</v>
      </c>
      <c r="K144" s="159" t="str">
        <f t="shared" si="60"/>
        <v>1+6.12925923891984j</v>
      </c>
      <c r="L144" s="159">
        <f t="shared" si="61"/>
        <v>0.63240887028199322</v>
      </c>
      <c r="M144" s="159" t="str">
        <f t="shared" si="62"/>
        <v>0.0669761663594785j</v>
      </c>
      <c r="N144" s="159" t="str">
        <f t="shared" si="63"/>
        <v>0.632408870281993+0.0669761663594785j</v>
      </c>
      <c r="O144" s="159" t="str">
        <f t="shared" si="64"/>
        <v>2.57876874788339+9.41881664563455j</v>
      </c>
      <c r="P144" s="159" t="str">
        <f t="shared" si="65"/>
        <v>16.4876323540996+60.2202063257354j</v>
      </c>
      <c r="R144" s="159">
        <f t="shared" si="66"/>
        <v>31.968031968031973</v>
      </c>
      <c r="S144" s="159" t="str">
        <f t="shared" si="67"/>
        <v>1+0.0008754833936466j</v>
      </c>
      <c r="T144" s="159" t="str">
        <f t="shared" si="68"/>
        <v>0.632408870281993+0.0669761663594785j</v>
      </c>
      <c r="U144" s="159" t="str">
        <f t="shared" si="69"/>
        <v>1.56386156551832-0.164238633995422j</v>
      </c>
      <c r="V144" s="159" t="str">
        <f t="shared" si="70"/>
        <v>49.9935765200662-5.25038590195155j</v>
      </c>
      <c r="X144" s="159" t="str">
        <f t="shared" si="71"/>
        <v>0.705171175488256+2.34377186163182j</v>
      </c>
      <c r="Y144" s="159">
        <f t="shared" si="72"/>
        <v>7.7746545954731943</v>
      </c>
      <c r="Z144" s="159">
        <f t="shared" si="73"/>
        <v>-106.74497677396307</v>
      </c>
      <c r="AB144" s="159" t="str">
        <f t="shared" si="74"/>
        <v>22.018752045834-2.31243598412312j</v>
      </c>
      <c r="AC144" s="159">
        <f t="shared" si="75"/>
        <v>26.90349209935259</v>
      </c>
      <c r="AD144" s="159">
        <f t="shared" si="76"/>
        <v>174.00470505794686</v>
      </c>
      <c r="AF144" s="159" t="str">
        <f t="shared" si="77"/>
        <v>3.82411568529832-6.61240987710318j</v>
      </c>
      <c r="AG144" s="159">
        <f t="shared" si="78"/>
        <v>17.660246728961809</v>
      </c>
      <c r="AH144" s="159">
        <f t="shared" si="79"/>
        <v>120.04182766531599</v>
      </c>
      <c r="AJ144" s="159" t="str">
        <f t="shared" si="80"/>
        <v>153867.570749248-23641.342278555j</v>
      </c>
      <c r="AK144" s="159" t="str">
        <f t="shared" si="81"/>
        <v>30000-0.0000225124301223411j</v>
      </c>
      <c r="AL144" s="159" t="str">
        <f t="shared" si="95"/>
        <v>10000-888398.093467134j</v>
      </c>
      <c r="AM144" s="159" t="str">
        <f t="shared" si="96"/>
        <v>963.08108220555-275717.229453788j</v>
      </c>
      <c r="AN144" s="159" t="str">
        <f t="shared" si="97"/>
        <v>10963.0810822056-275717.229453788j</v>
      </c>
      <c r="AO144" s="159" t="str">
        <f t="shared" si="98"/>
        <v>29525.5117232948-3193.71954421704j</v>
      </c>
      <c r="AP144" s="159" t="str">
        <f t="shared" si="99"/>
        <v>0.160507349153258+0.0206377293461479j</v>
      </c>
      <c r="AQ144" s="159" t="str">
        <f t="shared" si="82"/>
        <v>1+2.49887974357987j</v>
      </c>
      <c r="AR144" s="159">
        <f t="shared" si="83"/>
        <v>-8.3759759352459089E-7</v>
      </c>
      <c r="AS144" s="159" t="str">
        <f t="shared" si="84"/>
        <v>0.0000681623855100871j</v>
      </c>
      <c r="AT144" s="159" t="str">
        <f t="shared" si="85"/>
        <v>-8.37597593524591E-07+0.0000681623855100871j</v>
      </c>
      <c r="AU144" s="159" t="str">
        <f t="shared" si="86"/>
        <v>5.47123468961041-2.26785919907028j</v>
      </c>
      <c r="AW144" s="159" t="str">
        <f t="shared" si="100"/>
        <v>0.920342746151423-0.267102661562859j</v>
      </c>
      <c r="AX144" s="159">
        <f t="shared" si="87"/>
        <v>-0.36980135261488389</v>
      </c>
      <c r="AY144" s="159">
        <f t="shared" si="88"/>
        <v>163.81616909874478</v>
      </c>
      <c r="AZ144" s="159" t="str">
        <f t="shared" si="89"/>
        <v>19.6471409186372-8.00950095966217j</v>
      </c>
      <c r="BA144" s="159">
        <f t="shared" si="90"/>
        <v>26.533690746737733</v>
      </c>
      <c r="BB144" s="159">
        <f t="shared" si="91"/>
        <v>157.82087415669167</v>
      </c>
      <c r="BD144" s="159" t="str">
        <f t="shared" si="92"/>
        <v>1.7533048538894-7.10711494263943j</v>
      </c>
      <c r="BE144" s="159">
        <f t="shared" si="93"/>
        <v>17.290445376346973</v>
      </c>
      <c r="BF144" s="159">
        <f t="shared" si="94"/>
        <v>103.85799676406077</v>
      </c>
      <c r="BH144" s="159">
        <f t="shared" si="101"/>
        <v>-16.290445376346973</v>
      </c>
      <c r="BI144" s="169">
        <f t="shared" si="102"/>
        <v>-103.85799676406077</v>
      </c>
      <c r="BN144" s="165"/>
      <c r="BO144" s="165"/>
      <c r="BP144" s="165"/>
    </row>
    <row r="145" spans="1:68" s="159" customFormat="1">
      <c r="A145" s="159">
        <v>81</v>
      </c>
      <c r="B145" s="159">
        <f t="shared" si="52"/>
        <v>4168.6938347033556</v>
      </c>
      <c r="C145" s="159" t="str">
        <f t="shared" si="53"/>
        <v>26192.6758523383j</v>
      </c>
      <c r="D145" s="159">
        <f t="shared" si="54"/>
        <v>0.99972195186740009</v>
      </c>
      <c r="E145" s="159" t="str">
        <f t="shared" si="55"/>
        <v>-0.0261926758523383j</v>
      </c>
      <c r="F145" s="159" t="str">
        <f t="shared" si="56"/>
        <v>0.9997219518674-0.0261926758523383j</v>
      </c>
      <c r="G145" s="159">
        <f t="shared" si="57"/>
        <v>5.6470816278016145E-4</v>
      </c>
      <c r="H145" s="159">
        <f t="shared" si="58"/>
        <v>-1.5008038316011556</v>
      </c>
      <c r="J145" s="159">
        <f t="shared" si="59"/>
        <v>6.3936063936063938</v>
      </c>
      <c r="K145" s="159" t="str">
        <f t="shared" si="60"/>
        <v>1+6.41812232747772j</v>
      </c>
      <c r="L145" s="159">
        <f t="shared" si="61"/>
        <v>0.5969443411685621</v>
      </c>
      <c r="M145" s="159" t="str">
        <f t="shared" si="62"/>
        <v>0.0701326558340165j</v>
      </c>
      <c r="N145" s="159" t="str">
        <f t="shared" si="63"/>
        <v>0.596944341168562+0.0701326558340165j</v>
      </c>
      <c r="O145" s="159" t="str">
        <f t="shared" si="64"/>
        <v>2.89835855979317+10.4111092366738j</v>
      </c>
      <c r="P145" s="159" t="str">
        <f t="shared" si="65"/>
        <v>18.5309638188574+66.5645345801322j</v>
      </c>
      <c r="R145" s="159">
        <f t="shared" si="66"/>
        <v>31.968031968031973</v>
      </c>
      <c r="S145" s="159" t="str">
        <f t="shared" si="67"/>
        <v>1+0.00091674365483184j</v>
      </c>
      <c r="T145" s="159" t="str">
        <f t="shared" si="68"/>
        <v>0.596944341168562+0.0701326558340165j</v>
      </c>
      <c r="U145" s="159" t="str">
        <f t="shared" si="69"/>
        <v>1.65256811641858-0.192618037170996j</v>
      </c>
      <c r="V145" s="159" t="str">
        <f t="shared" si="70"/>
        <v>52.8293503750195-6.15761956990197j</v>
      </c>
      <c r="X145" s="159" t="str">
        <f t="shared" si="71"/>
        <v>0.794524994092817+2.5894727728377j</v>
      </c>
      <c r="Y145" s="159">
        <f t="shared" si="72"/>
        <v>8.6549716238375947</v>
      </c>
      <c r="Z145" s="159">
        <f t="shared" si="73"/>
        <v>-107.05752505779786</v>
      </c>
      <c r="AB145" s="159" t="str">
        <f t="shared" si="74"/>
        <v>23.2677165272052-2.71201038093018j</v>
      </c>
      <c r="AC145" s="159">
        <f t="shared" si="75"/>
        <v>27.393679111064365</v>
      </c>
      <c r="AD145" s="159">
        <f t="shared" si="76"/>
        <v>173.35178588663226</v>
      </c>
      <c r="AF145" s="159" t="str">
        <f t="shared" si="77"/>
        <v>3.49918490673074-6.56054079089918j</v>
      </c>
      <c r="AG145" s="159">
        <f t="shared" si="78"/>
        <v>17.426072391479536</v>
      </c>
      <c r="AH145" s="159">
        <f t="shared" si="79"/>
        <v>118.07404952882285</v>
      </c>
      <c r="AJ145" s="159" t="str">
        <f t="shared" si="80"/>
        <v>153525.963080657-24700.5636648275j</v>
      </c>
      <c r="AK145" s="159" t="str">
        <f t="shared" si="81"/>
        <v>30000-0.0000235734082671045j</v>
      </c>
      <c r="AL145" s="159" t="str">
        <f t="shared" si="95"/>
        <v>10000-848413.592696694j</v>
      </c>
      <c r="AM145" s="159" t="str">
        <f t="shared" si="96"/>
        <v>963.075483184612-263308.598758131j</v>
      </c>
      <c r="AN145" s="159" t="str">
        <f t="shared" si="97"/>
        <v>10963.0754831846-263308.598758131j</v>
      </c>
      <c r="AO145" s="159" t="str">
        <f t="shared" si="98"/>
        <v>29480.8184185064-3337.27320703033j</v>
      </c>
      <c r="AP145" s="159" t="str">
        <f t="shared" si="99"/>
        <v>0.160556264869943+0.0216090963689723j</v>
      </c>
      <c r="AQ145" s="159" t="str">
        <f t="shared" si="82"/>
        <v>1+2.6166483176486j</v>
      </c>
      <c r="AR145" s="159">
        <f t="shared" si="83"/>
        <v>-9.2805531805604041E-7</v>
      </c>
      <c r="AS145" s="159" t="str">
        <f t="shared" si="84"/>
        <v>0.0000713747797708633j</v>
      </c>
      <c r="AT145" s="159" t="str">
        <f t="shared" si="85"/>
        <v>-9.2805531805604E-07+0.0000713747797708633j</v>
      </c>
      <c r="AU145" s="159" t="str">
        <f t="shared" si="86"/>
        <v>5.47085184163474-2.17271778131961j</v>
      </c>
      <c r="AW145" s="159" t="str">
        <f t="shared" si="100"/>
        <v>0.920836937709271-0.247395094954529j</v>
      </c>
      <c r="AX145" s="159">
        <f t="shared" si="87"/>
        <v>-0.41366845951116393</v>
      </c>
      <c r="AY145" s="159">
        <f t="shared" si="88"/>
        <v>164.96183201694024</v>
      </c>
      <c r="AZ145" s="159" t="str">
        <f t="shared" si="89"/>
        <v>20.7548347686912-8.2536382738345j</v>
      </c>
      <c r="BA145" s="159">
        <f t="shared" si="90"/>
        <v>26.980010651553226</v>
      </c>
      <c r="BB145" s="159">
        <f t="shared" si="91"/>
        <v>158.31361790357255</v>
      </c>
      <c r="BD145" s="159" t="str">
        <f t="shared" si="92"/>
        <v>1.59913310207488-6.90686947387248j</v>
      </c>
      <c r="BE145" s="159">
        <f t="shared" si="93"/>
        <v>17.01240393196839</v>
      </c>
      <c r="BF145" s="159">
        <f t="shared" si="94"/>
        <v>103.03588154576313</v>
      </c>
      <c r="BH145" s="159">
        <f t="shared" si="101"/>
        <v>-16.01240393196839</v>
      </c>
      <c r="BI145" s="169">
        <f t="shared" si="102"/>
        <v>-103.03588154576313</v>
      </c>
      <c r="BN145" s="165"/>
      <c r="BO145" s="165"/>
      <c r="BP145" s="165"/>
    </row>
    <row r="146" spans="1:68" s="159" customFormat="1">
      <c r="A146" s="159">
        <v>82</v>
      </c>
      <c r="B146" s="159">
        <f t="shared" si="52"/>
        <v>4365.1583224016631</v>
      </c>
      <c r="C146" s="159" t="str">
        <f t="shared" si="53"/>
        <v>27427.0986348268j</v>
      </c>
      <c r="D146" s="159">
        <f t="shared" si="54"/>
        <v>0.99969512628512591</v>
      </c>
      <c r="E146" s="159" t="str">
        <f t="shared" si="55"/>
        <v>-0.0274270986348268j</v>
      </c>
      <c r="F146" s="159" t="str">
        <f t="shared" si="56"/>
        <v>0.999695126285126-0.0274270986348268j</v>
      </c>
      <c r="G146" s="159">
        <f t="shared" si="57"/>
        <v>6.1922181736168765E-4</v>
      </c>
      <c r="H146" s="159">
        <f t="shared" si="58"/>
        <v>-1.5715420149021393</v>
      </c>
      <c r="J146" s="159">
        <f t="shared" si="59"/>
        <v>6.3936063936063938</v>
      </c>
      <c r="K146" s="159" t="str">
        <f t="shared" si="60"/>
        <v>1+6.72059911398479j</v>
      </c>
      <c r="L146" s="159">
        <f t="shared" si="61"/>
        <v>0.55805825825920408</v>
      </c>
      <c r="M146" s="159" t="str">
        <f t="shared" si="62"/>
        <v>0.0734379060744269j</v>
      </c>
      <c r="N146" s="159" t="str">
        <f t="shared" si="63"/>
        <v>0.558058258259204+0.0734379060744269j</v>
      </c>
      <c r="O146" s="159" t="str">
        <f t="shared" si="64"/>
        <v>3.31922815106741+11.6060319024591j</v>
      </c>
      <c r="P146" s="159" t="str">
        <f t="shared" si="65"/>
        <v>21.2218383285029+74.2043997759623j</v>
      </c>
      <c r="R146" s="159">
        <f t="shared" si="66"/>
        <v>31.968031968031973</v>
      </c>
      <c r="S146" s="159" t="str">
        <f t="shared" si="67"/>
        <v>1+0.000959948452218938j</v>
      </c>
      <c r="T146" s="159" t="str">
        <f t="shared" si="68"/>
        <v>0.558058258259204+0.0734379060744269j</v>
      </c>
      <c r="U146" s="159" t="str">
        <f t="shared" si="69"/>
        <v>1.76164691297376-0.230104492100193j</v>
      </c>
      <c r="V146" s="159" t="str">
        <f t="shared" si="70"/>
        <v>56.31638483033-7.35598775944673j</v>
      </c>
      <c r="X146" s="159" t="str">
        <f t="shared" si="71"/>
        <v>0.911385860746607+2.88499245907007j</v>
      </c>
      <c r="Y146" s="159">
        <f t="shared" si="72"/>
        <v>9.6160168865599278</v>
      </c>
      <c r="Z146" s="159">
        <f t="shared" si="73"/>
        <v>-107.53162897473949</v>
      </c>
      <c r="AB146" s="159" t="str">
        <f t="shared" si="74"/>
        <v>24.8035167717815-3.2398096275916j</v>
      </c>
      <c r="AC146" s="159">
        <f t="shared" si="75"/>
        <v>27.963736585323193</v>
      </c>
      <c r="AD146" s="159">
        <f t="shared" si="76"/>
        <v>172.55821607510117</v>
      </c>
      <c r="AF146" s="159" t="str">
        <f t="shared" si="77"/>
        <v>3.17805860944264-6.49187848730315j</v>
      </c>
      <c r="AG146" s="159">
        <f t="shared" si="78"/>
        <v>17.180409331106098</v>
      </c>
      <c r="AH146" s="159">
        <f t="shared" si="79"/>
        <v>116.083770796659</v>
      </c>
      <c r="AJ146" s="159" t="str">
        <f t="shared" si="80"/>
        <v>153153.13689244-25801.8549830215j</v>
      </c>
      <c r="AK146" s="159" t="str">
        <f t="shared" si="81"/>
        <v>30000-0.0000246843887713441j</v>
      </c>
      <c r="AL146" s="159" t="str">
        <f t="shared" si="95"/>
        <v>10000-810228.69090515j</v>
      </c>
      <c r="AM146" s="159" t="str">
        <f t="shared" si="96"/>
        <v>963.069344055074-251458.480894048j</v>
      </c>
      <c r="AN146" s="159" t="str">
        <f t="shared" si="97"/>
        <v>10963.0693440551-251458.480894048j</v>
      </c>
      <c r="AO146" s="159" t="str">
        <f t="shared" si="98"/>
        <v>29432.0268485537-3486.59579671203j</v>
      </c>
      <c r="AP146" s="159" t="str">
        <f t="shared" si="99"/>
        <v>0.160609893335209+0.0226260561313096j</v>
      </c>
      <c r="AQ146" s="159" t="str">
        <f t="shared" si="82"/>
        <v>1+2.7399671536192j</v>
      </c>
      <c r="AR146" s="159">
        <f t="shared" si="83"/>
        <v>-1.0272402406774904E-6</v>
      </c>
      <c r="AS146" s="159" t="str">
        <f t="shared" si="84"/>
        <v>0.0000747385695089167j</v>
      </c>
      <c r="AT146" s="159" t="str">
        <f t="shared" si="85"/>
        <v>-1.02724024067749E-06+0.0000747385695089167j</v>
      </c>
      <c r="AU146" s="159" t="str">
        <f t="shared" si="86"/>
        <v>5.47048427440812-2.08218464181468j</v>
      </c>
      <c r="AW146" s="159" t="str">
        <f t="shared" si="100"/>
        <v>0.921387007664008-0.228216581641442j</v>
      </c>
      <c r="AX146" s="159">
        <f t="shared" si="87"/>
        <v>-0.45257458727954325</v>
      </c>
      <c r="AY146" s="159">
        <f t="shared" si="88"/>
        <v>166.0884953302766</v>
      </c>
      <c r="AZ146" s="159" t="str">
        <f t="shared" si="89"/>
        <v>22.1142598195179-8.64569230850983j</v>
      </c>
      <c r="BA146" s="159">
        <f t="shared" si="90"/>
        <v>27.511161998043683</v>
      </c>
      <c r="BB146" s="159">
        <f t="shared" si="91"/>
        <v>158.64671140537783</v>
      </c>
      <c r="BD146" s="159" t="str">
        <f t="shared" si="92"/>
        <v>1.44666759553127-6.70681816563778j</v>
      </c>
      <c r="BE146" s="159">
        <f t="shared" si="93"/>
        <v>16.727834743826595</v>
      </c>
      <c r="BF146" s="159">
        <f t="shared" si="94"/>
        <v>102.1722661269357</v>
      </c>
      <c r="BH146" s="159">
        <f t="shared" si="101"/>
        <v>-15.727834743826595</v>
      </c>
      <c r="BI146" s="169">
        <f t="shared" si="102"/>
        <v>-102.1722661269357</v>
      </c>
      <c r="BN146" s="165"/>
      <c r="BO146" s="165"/>
      <c r="BP146" s="165"/>
    </row>
    <row r="147" spans="1:68" s="159" customFormat="1">
      <c r="A147" s="159">
        <v>83</v>
      </c>
      <c r="B147" s="159">
        <f t="shared" si="52"/>
        <v>4570.8818961487532</v>
      </c>
      <c r="C147" s="159" t="str">
        <f t="shared" si="53"/>
        <v>28719.697970735j</v>
      </c>
      <c r="D147" s="159">
        <f t="shared" si="54"/>
        <v>0.99966571261906334</v>
      </c>
      <c r="E147" s="159" t="str">
        <f t="shared" si="55"/>
        <v>-0.028719697970735j</v>
      </c>
      <c r="F147" s="159" t="str">
        <f t="shared" si="56"/>
        <v>0.999665712619063-0.028719697970735j</v>
      </c>
      <c r="G147" s="159">
        <f t="shared" si="57"/>
        <v>6.7900124751416068E-4</v>
      </c>
      <c r="H147" s="159">
        <f t="shared" si="58"/>
        <v>-1.6456150932583495</v>
      </c>
      <c r="J147" s="159">
        <f t="shared" si="59"/>
        <v>6.3936063936063938</v>
      </c>
      <c r="K147" s="159" t="str">
        <f t="shared" si="60"/>
        <v>1+7.03733119225905j</v>
      </c>
      <c r="L147" s="159">
        <f t="shared" si="61"/>
        <v>0.51542051621567453</v>
      </c>
      <c r="M147" s="159" t="str">
        <f t="shared" si="62"/>
        <v>0.076898927959613j</v>
      </c>
      <c r="N147" s="159" t="str">
        <f t="shared" si="63"/>
        <v>0.515420516215675+0.076898927959613j</v>
      </c>
      <c r="O147" s="159" t="str">
        <f t="shared" si="64"/>
        <v>3.8906245821507+13.073104621972j</v>
      </c>
      <c r="P147" s="159" t="str">
        <f t="shared" si="65"/>
        <v>24.8751222035609+83.5842852953255j</v>
      </c>
      <c r="R147" s="159">
        <f t="shared" si="66"/>
        <v>31.968031968031973</v>
      </c>
      <c r="S147" s="159" t="str">
        <f t="shared" si="67"/>
        <v>1+0.00100518942897572j</v>
      </c>
      <c r="T147" s="159" t="str">
        <f t="shared" si="68"/>
        <v>0.515420516215675+0.076898927959613j</v>
      </c>
      <c r="U147" s="159" t="str">
        <f t="shared" si="69"/>
        <v>1.89820114670519-0.281254702216203j</v>
      </c>
      <c r="V147" s="159" t="str">
        <f t="shared" si="70"/>
        <v>60.6817549396265-8.99115931160689j</v>
      </c>
      <c r="X147" s="159" t="str">
        <f t="shared" si="71"/>
        <v>1.06883579615382+3.2472726242186j</v>
      </c>
      <c r="Y147" s="159">
        <f t="shared" si="72"/>
        <v>10.677100842261421</v>
      </c>
      <c r="Z147" s="159">
        <f t="shared" si="73"/>
        <v>-108.21889668020373</v>
      </c>
      <c r="AB147" s="159" t="str">
        <f t="shared" si="74"/>
        <v>26.7261638139734-3.95999088817745j</v>
      </c>
      <c r="AC147" s="159">
        <f t="shared" si="75"/>
        <v>28.633046312953784</v>
      </c>
      <c r="AD147" s="159">
        <f t="shared" si="76"/>
        <v>171.57185788549407</v>
      </c>
      <c r="AF147" s="159" t="str">
        <f t="shared" si="77"/>
        <v>2.86227805124641-6.4067859186956j</v>
      </c>
      <c r="AG147" s="159">
        <f t="shared" si="78"/>
        <v>16.923139998567066</v>
      </c>
      <c r="AH147" s="159">
        <f t="shared" si="79"/>
        <v>114.07304990112804</v>
      </c>
      <c r="AJ147" s="159" t="str">
        <f t="shared" si="80"/>
        <v>152746.416815143-26946.109153636j</v>
      </c>
      <c r="AK147" s="159" t="str">
        <f t="shared" si="81"/>
        <v>30000-0.0000258477281736615j</v>
      </c>
      <c r="AL147" s="159" t="str">
        <f t="shared" si="95"/>
        <v>10000-773762.392796272j</v>
      </c>
      <c r="AM147" s="159" t="str">
        <f t="shared" si="96"/>
        <v>963.062612723344-240141.740171474j</v>
      </c>
      <c r="AN147" s="159" t="str">
        <f t="shared" si="97"/>
        <v>10963.0626127233-240141.740171474j</v>
      </c>
      <c r="AO147" s="159" t="str">
        <f t="shared" si="98"/>
        <v>29378.7830788577-3641.82027602396j</v>
      </c>
      <c r="AP147" s="159" t="str">
        <f t="shared" si="99"/>
        <v>0.160668687902911+0.0236907297858973j</v>
      </c>
      <c r="AQ147" s="159" t="str">
        <f t="shared" si="82"/>
        <v>1+2.86909782727643j</v>
      </c>
      <c r="AR147" s="159">
        <f t="shared" si="83"/>
        <v>-1.1359943457180649E-6</v>
      </c>
      <c r="AS147" s="159" t="str">
        <f t="shared" si="84"/>
        <v>0.0000782608897732732j</v>
      </c>
      <c r="AT147" s="159" t="str">
        <f t="shared" si="85"/>
        <v>-1.13599434571806E-06+0.0000782608897732732j</v>
      </c>
      <c r="AU147" s="159" t="str">
        <f t="shared" si="86"/>
        <v>5.47012886887911-1.996067715534j</v>
      </c>
      <c r="AW147" s="159" t="str">
        <f t="shared" si="100"/>
        <v>0.921997581212211-0.209527079371937j</v>
      </c>
      <c r="AX147" s="159">
        <f t="shared" si="87"/>
        <v>-0.48671644840825984</v>
      </c>
      <c r="AY147" s="159">
        <f t="shared" si="88"/>
        <v>167.19678726051595</v>
      </c>
      <c r="AZ147" s="159" t="str">
        <f t="shared" si="89"/>
        <v>23.8117330664255-9.25095706727978j</v>
      </c>
      <c r="BA147" s="159">
        <f t="shared" si="90"/>
        <v>28.146329864545521</v>
      </c>
      <c r="BB147" s="159">
        <f t="shared" si="91"/>
        <v>158.76864514601007</v>
      </c>
      <c r="BD147" s="159" t="str">
        <f t="shared" si="92"/>
        <v>1.29661829830046-6.50676588080985j</v>
      </c>
      <c r="BE147" s="159">
        <f t="shared" si="93"/>
        <v>16.436423550158803</v>
      </c>
      <c r="BF147" s="159">
        <f t="shared" si="94"/>
        <v>101.26983716164411</v>
      </c>
      <c r="BH147" s="159">
        <f t="shared" si="101"/>
        <v>-15.436423550158803</v>
      </c>
      <c r="BI147" s="169">
        <f t="shared" si="102"/>
        <v>-101.26983716164411</v>
      </c>
      <c r="BN147" s="165"/>
      <c r="BO147" s="165"/>
      <c r="BP147" s="165"/>
    </row>
    <row r="148" spans="1:68" s="159" customFormat="1">
      <c r="A148" s="159">
        <v>84</v>
      </c>
      <c r="B148" s="159">
        <f t="shared" si="52"/>
        <v>4786.3009232263857</v>
      </c>
      <c r="C148" s="159" t="str">
        <f t="shared" si="53"/>
        <v>30073.2156365561j</v>
      </c>
      <c r="D148" s="159">
        <f t="shared" si="54"/>
        <v>0.99963346117555718</v>
      </c>
      <c r="E148" s="159" t="str">
        <f t="shared" si="55"/>
        <v>-0.0300732156365561j</v>
      </c>
      <c r="F148" s="159" t="str">
        <f t="shared" si="56"/>
        <v>0.999633461175557-0.0300732156365561j</v>
      </c>
      <c r="G148" s="159">
        <f t="shared" si="57"/>
        <v>7.4455577923736934E-4</v>
      </c>
      <c r="H148" s="159">
        <f t="shared" si="58"/>
        <v>-1.7231803992889823</v>
      </c>
      <c r="J148" s="159">
        <f t="shared" si="59"/>
        <v>6.3936063936063938</v>
      </c>
      <c r="K148" s="159" t="str">
        <f t="shared" si="60"/>
        <v>1+7.36899039350352j</v>
      </c>
      <c r="L148" s="159">
        <f t="shared" si="61"/>
        <v>0.46866916173216744</v>
      </c>
      <c r="M148" s="159" t="str">
        <f t="shared" si="62"/>
        <v>0.0805230627810203j</v>
      </c>
      <c r="N148" s="159" t="str">
        <f t="shared" si="63"/>
        <v>0.468669161732167+0.0805230627810203j</v>
      </c>
      <c r="O148" s="159" t="str">
        <f t="shared" si="64"/>
        <v>4.69650441985349+14.9163078010398j</v>
      </c>
      <c r="P148" s="159" t="str">
        <f t="shared" si="65"/>
        <v>30.027600686376+95.369000925729j</v>
      </c>
      <c r="R148" s="159">
        <f t="shared" si="66"/>
        <v>31.968031968031973</v>
      </c>
      <c r="S148" s="159" t="str">
        <f t="shared" si="67"/>
        <v>1+0.00105256254727946j</v>
      </c>
      <c r="T148" s="159" t="str">
        <f t="shared" si="68"/>
        <v>0.468669161732167+0.0805230627810203j</v>
      </c>
      <c r="U148" s="159" t="str">
        <f t="shared" si="69"/>
        <v>2.07289646517792-0.353902972928235j</v>
      </c>
      <c r="V148" s="159" t="str">
        <f t="shared" si="70"/>
        <v>66.2664204652282-11.3135815521514j</v>
      </c>
      <c r="X148" s="159" t="str">
        <f t="shared" si="71"/>
        <v>1.28902601946592+3.70154617910764j</v>
      </c>
      <c r="Y148" s="159">
        <f t="shared" si="72"/>
        <v>11.864769406669456</v>
      </c>
      <c r="Z148" s="159">
        <f t="shared" si="73"/>
        <v>-109.20015544256147</v>
      </c>
      <c r="AB148" s="159" t="str">
        <f t="shared" si="74"/>
        <v>29.1858271152734-4.98285908484977j</v>
      </c>
      <c r="AC148" s="159">
        <f t="shared" si="75"/>
        <v>29.428219712425854</v>
      </c>
      <c r="AD148" s="159">
        <f t="shared" si="76"/>
        <v>170.31137941041769</v>
      </c>
      <c r="AF148" s="159" t="str">
        <f t="shared" si="77"/>
        <v>2.55332979162226-6.30579429691178j</v>
      </c>
      <c r="AG148" s="159">
        <f t="shared" si="78"/>
        <v>16.654171357884007</v>
      </c>
      <c r="AH148" s="159">
        <f t="shared" si="79"/>
        <v>112.04391251233295</v>
      </c>
      <c r="AJ148" s="159" t="str">
        <f t="shared" si="80"/>
        <v>152302.932789351-28134.1176880536j</v>
      </c>
      <c r="AK148" s="159" t="str">
        <f t="shared" si="81"/>
        <v>30000-0.0000270658940729005j</v>
      </c>
      <c r="AL148" s="159" t="str">
        <f t="shared" si="95"/>
        <v>10000-738937.348462651j</v>
      </c>
      <c r="AM148" s="159" t="str">
        <f t="shared" si="96"/>
        <v>963.055232073015-229334.37226458j</v>
      </c>
      <c r="AN148" s="159" t="str">
        <f t="shared" si="97"/>
        <v>10963.055232073-229334.37226458j</v>
      </c>
      <c r="AO148" s="159" t="str">
        <f t="shared" si="98"/>
        <v>29320.7068761144-3803.06744139295j</v>
      </c>
      <c r="AP148" s="159" t="str">
        <f t="shared" si="99"/>
        <v>0.160733145398425+0.0248053343800017j</v>
      </c>
      <c r="AQ148" s="159" t="str">
        <f t="shared" si="82"/>
        <v>1+3.00431424209195j</v>
      </c>
      <c r="AR148" s="159">
        <f t="shared" si="83"/>
        <v>-1.2552408506361188E-6</v>
      </c>
      <c r="AS148" s="159" t="str">
        <f t="shared" si="84"/>
        <v>0.000081949211877459j</v>
      </c>
      <c r="AT148" s="159" t="str">
        <f t="shared" si="85"/>
        <v>-1.25524085063612E-06+0.000081949211877459j</v>
      </c>
      <c r="AU148" s="159" t="str">
        <f t="shared" si="86"/>
        <v>5.46978260947875-1.91418429758766j</v>
      </c>
      <c r="AW148" s="159" t="str">
        <f t="shared" si="100"/>
        <v>0.922673788211444-0.19128767688131j</v>
      </c>
      <c r="AX148" s="159">
        <f t="shared" si="87"/>
        <v>-0.51627191308052955</v>
      </c>
      <c r="AY148" s="159">
        <f t="shared" si="88"/>
        <v>168.28742959214901</v>
      </c>
      <c r="AZ148" s="159" t="str">
        <f t="shared" si="89"/>
        <v>25.9758381279657-10.1804425346823j</v>
      </c>
      <c r="BA148" s="159">
        <f t="shared" si="90"/>
        <v>28.911947799345306</v>
      </c>
      <c r="BB148" s="159">
        <f t="shared" si="91"/>
        <v>158.59880900256675</v>
      </c>
      <c r="BD148" s="159" t="str">
        <f t="shared" si="92"/>
        <v>1.14966972944159-6.30661163576496j</v>
      </c>
      <c r="BE148" s="159">
        <f t="shared" si="93"/>
        <v>16.137899444803459</v>
      </c>
      <c r="BF148" s="159">
        <f t="shared" si="94"/>
        <v>100.33134210448208</v>
      </c>
      <c r="BH148" s="159">
        <f t="shared" si="101"/>
        <v>-15.137899444803459</v>
      </c>
      <c r="BI148" s="169">
        <f t="shared" si="102"/>
        <v>-100.33134210448208</v>
      </c>
      <c r="BN148" s="165"/>
      <c r="BO148" s="165"/>
      <c r="BP148" s="165"/>
    </row>
    <row r="149" spans="1:68" s="159" customFormat="1">
      <c r="A149" s="159">
        <v>85</v>
      </c>
      <c r="B149" s="159">
        <f t="shared" si="52"/>
        <v>5011.8723362727242</v>
      </c>
      <c r="C149" s="159" t="str">
        <f t="shared" si="53"/>
        <v>31490.5226247286j</v>
      </c>
      <c r="D149" s="159">
        <f t="shared" si="54"/>
        <v>0.99959809817095846</v>
      </c>
      <c r="E149" s="159" t="str">
        <f t="shared" si="55"/>
        <v>-0.0314905226247286j</v>
      </c>
      <c r="F149" s="159" t="str">
        <f t="shared" si="56"/>
        <v>0.999598098170958-0.0314905226247286j</v>
      </c>
      <c r="G149" s="159">
        <f t="shared" si="57"/>
        <v>8.1644413887654714E-4</v>
      </c>
      <c r="H149" s="159">
        <f t="shared" si="58"/>
        <v>-1.8044027047016264</v>
      </c>
      <c r="J149" s="159">
        <f t="shared" si="59"/>
        <v>6.3936063936063938</v>
      </c>
      <c r="K149" s="159" t="str">
        <f t="shared" si="60"/>
        <v>1+7.71628021135037j</v>
      </c>
      <c r="L149" s="159">
        <f t="shared" si="61"/>
        <v>0.41740732090084021</v>
      </c>
      <c r="M149" s="159" t="str">
        <f t="shared" si="62"/>
        <v>0.0843179978145012j</v>
      </c>
      <c r="N149" s="159" t="str">
        <f t="shared" si="63"/>
        <v>0.41740732090084+0.0843179978145012j</v>
      </c>
      <c r="O149" s="159" t="str">
        <f t="shared" si="64"/>
        <v>5.88969926230045+17.2964684621302j</v>
      </c>
      <c r="P149" s="159" t="str">
        <f t="shared" si="65"/>
        <v>37.656418859863+110.586811346287j</v>
      </c>
      <c r="R149" s="159">
        <f t="shared" si="66"/>
        <v>31.968031968031973</v>
      </c>
      <c r="S149" s="159" t="str">
        <f t="shared" si="67"/>
        <v>1+0.0011021682918655j</v>
      </c>
      <c r="T149" s="159" t="str">
        <f t="shared" si="68"/>
        <v>0.41740732090084+0.0843179978145012j</v>
      </c>
      <c r="U149" s="159" t="str">
        <f t="shared" si="69"/>
        <v>2.30232682129012-0.462438989276371j</v>
      </c>
      <c r="V149" s="159" t="str">
        <f t="shared" si="70"/>
        <v>73.60085742386-14.7832643924514j</v>
      </c>
      <c r="X149" s="159" t="str">
        <f t="shared" si="71"/>
        <v>1.61198466563492+4.28660321229134j</v>
      </c>
      <c r="Y149" s="159">
        <f t="shared" si="72"/>
        <v>13.216701165204084</v>
      </c>
      <c r="Z149" s="159">
        <f t="shared" si="73"/>
        <v>-110.60885866640639</v>
      </c>
      <c r="AB149" s="159" t="str">
        <f t="shared" si="74"/>
        <v>32.4161450886853-6.51101712946549j</v>
      </c>
      <c r="AC149" s="159">
        <f t="shared" si="75"/>
        <v>30.386995461374976</v>
      </c>
      <c r="AD149" s="159">
        <f t="shared" si="76"/>
        <v>168.6428486901718</v>
      </c>
      <c r="AF149" s="159" t="str">
        <f t="shared" si="77"/>
        <v>2.25262356958726-6.18959244732454j</v>
      </c>
      <c r="AG149" s="159">
        <f t="shared" si="78"/>
        <v>16.373432816407941</v>
      </c>
      <c r="AH149" s="159">
        <f t="shared" si="79"/>
        <v>109.99833377506916</v>
      </c>
      <c r="AJ149" s="159" t="str">
        <f t="shared" si="80"/>
        <v>151819.612719808-29366.5489456493j</v>
      </c>
      <c r="AK149" s="159" t="str">
        <f t="shared" si="81"/>
        <v>30000-0.0000283414703622557j</v>
      </c>
      <c r="AL149" s="159" t="str">
        <f t="shared" si="95"/>
        <v>10000-705679.689316166j</v>
      </c>
      <c r="AM149" s="159" t="str">
        <f t="shared" si="96"/>
        <v>963.047139480896-219013.453295349j</v>
      </c>
      <c r="AN149" s="159" t="str">
        <f t="shared" si="97"/>
        <v>10963.0471394809-219013.453295349j</v>
      </c>
      <c r="AO149" s="159" t="str">
        <f t="shared" si="98"/>
        <v>29257.3905969018-3970.44313500065j</v>
      </c>
      <c r="AP149" s="159" t="str">
        <f t="shared" si="99"/>
        <v>0.160803810258801+0.0259721867745101j</v>
      </c>
      <c r="AQ149" s="159" t="str">
        <f t="shared" si="82"/>
        <v>1+3.14590321021039j</v>
      </c>
      <c r="AR149" s="159">
        <f t="shared" si="83"/>
        <v>-1.3859920432450487E-6</v>
      </c>
      <c r="AS149" s="159" t="str">
        <f t="shared" si="84"/>
        <v>0.0000858113592471592j</v>
      </c>
      <c r="AT149" s="159" t="str">
        <f t="shared" si="85"/>
        <v>-1.38599204324505E-06+0.0000858113592471592j</v>
      </c>
      <c r="AU149" s="159" t="str">
        <f t="shared" si="86"/>
        <v>5.46944255857176-1.83636065492556j</v>
      </c>
      <c r="AW149" s="159" t="str">
        <f t="shared" si="100"/>
        <v>0.923421304922641-0.173460525194152j</v>
      </c>
      <c r="AX149" s="159">
        <f t="shared" si="87"/>
        <v>-0.54139908883042898</v>
      </c>
      <c r="AY149" s="159">
        <f t="shared" si="88"/>
        <v>169.36122322753874</v>
      </c>
      <c r="AZ149" s="159" t="str">
        <f t="shared" si="89"/>
        <v>28.8043545475303-11.6353334859179j</v>
      </c>
      <c r="BA149" s="159">
        <f t="shared" si="90"/>
        <v>29.845596372544566</v>
      </c>
      <c r="BB149" s="159">
        <f t="shared" si="91"/>
        <v>158.00407191771055</v>
      </c>
      <c r="BD149" s="159" t="str">
        <f t="shared" si="92"/>
        <v>1.00647063947709-6.10634280209309j</v>
      </c>
      <c r="BE149" s="159">
        <f t="shared" si="93"/>
        <v>15.832033727577524</v>
      </c>
      <c r="BF149" s="159">
        <f t="shared" si="94"/>
        <v>99.359557002607858</v>
      </c>
      <c r="BH149" s="159">
        <f t="shared" si="101"/>
        <v>-14.832033727577524</v>
      </c>
      <c r="BI149" s="169">
        <f t="shared" si="102"/>
        <v>-99.359557002607858</v>
      </c>
      <c r="BN149" s="165"/>
      <c r="BO149" s="165"/>
      <c r="BP149" s="165"/>
    </row>
    <row r="150" spans="1:68" s="159" customFormat="1">
      <c r="A150" s="159">
        <v>86</v>
      </c>
      <c r="B150" s="159">
        <f t="shared" si="52"/>
        <v>5248.0746024977288</v>
      </c>
      <c r="C150" s="159" t="str">
        <f t="shared" si="53"/>
        <v>32974.6252333961j</v>
      </c>
      <c r="D150" s="159">
        <f t="shared" si="54"/>
        <v>0.99955932340746589</v>
      </c>
      <c r="E150" s="159" t="str">
        <f t="shared" si="55"/>
        <v>-0.0329746252333961j</v>
      </c>
      <c r="F150" s="159" t="str">
        <f t="shared" si="56"/>
        <v>0.999559323407466-0.0329746252333961j</v>
      </c>
      <c r="G150" s="159">
        <f t="shared" si="57"/>
        <v>8.952792720762718E-4</v>
      </c>
      <c r="H150" s="159">
        <f t="shared" si="58"/>
        <v>-1.8894545744637139</v>
      </c>
      <c r="J150" s="159">
        <f t="shared" si="59"/>
        <v>6.3936063936063938</v>
      </c>
      <c r="K150" s="159" t="str">
        <f t="shared" si="60"/>
        <v>1+8.07993729406521j</v>
      </c>
      <c r="L150" s="159">
        <f t="shared" si="61"/>
        <v>0.36119983013512813</v>
      </c>
      <c r="M150" s="159" t="str">
        <f t="shared" si="62"/>
        <v>0.0882917826260577j</v>
      </c>
      <c r="N150" s="159" t="str">
        <f t="shared" si="63"/>
        <v>0.361199830135128+0.0882917826260577j</v>
      </c>
      <c r="O150" s="159" t="str">
        <f t="shared" si="64"/>
        <v>7.77221192123333+20.469873548462j</v>
      </c>
      <c r="P150" s="159" t="str">
        <f t="shared" si="65"/>
        <v>49.6924638320613+130.876314395761j</v>
      </c>
      <c r="R150" s="159">
        <f t="shared" si="66"/>
        <v>31.968031968031973</v>
      </c>
      <c r="S150" s="159" t="str">
        <f t="shared" si="67"/>
        <v>1+0.00115411188316886j</v>
      </c>
      <c r="T150" s="159" t="str">
        <f t="shared" si="68"/>
        <v>0.361199830135128+0.0882917826260577j</v>
      </c>
      <c r="U150" s="159" t="str">
        <f t="shared" si="69"/>
        <v>2.61319074726592-0.63557382474121j</v>
      </c>
      <c r="V150" s="159" t="str">
        <f t="shared" si="70"/>
        <v>83.5385653471623-20.3180443473714j</v>
      </c>
      <c r="X150" s="159" t="str">
        <f t="shared" si="71"/>
        <v>2.11617198949758+5.06365313398705j</v>
      </c>
      <c r="Y150" s="159">
        <f t="shared" si="72"/>
        <v>14.788371880609368</v>
      </c>
      <c r="Z150" s="159">
        <f t="shared" si="73"/>
        <v>-112.68073724410056</v>
      </c>
      <c r="AB150" s="159" t="str">
        <f t="shared" si="74"/>
        <v>36.7930259181512-8.94870924790637j</v>
      </c>
      <c r="AC150" s="159">
        <f t="shared" si="75"/>
        <v>31.564904399009368</v>
      </c>
      <c r="AD150" s="159">
        <f t="shared" si="76"/>
        <v>166.33008330344973</v>
      </c>
      <c r="AF150" s="159" t="str">
        <f t="shared" si="77"/>
        <v>1.96147264749477-6.05901292684018j</v>
      </c>
      <c r="AG150" s="159">
        <f t="shared" si="78"/>
        <v>16.080873735938763</v>
      </c>
      <c r="AH150" s="159">
        <f t="shared" si="79"/>
        <v>107.93822367321681</v>
      </c>
      <c r="AJ150" s="159" t="str">
        <f t="shared" si="80"/>
        <v>151293.176328057-30643.9238387716j</v>
      </c>
      <c r="AK150" s="159" t="str">
        <f t="shared" si="81"/>
        <v>30000-0.0000296771627100565j</v>
      </c>
      <c r="AL150" s="159" t="str">
        <f t="shared" si="95"/>
        <v>10000-673918.871402852j</v>
      </c>
      <c r="AM150" s="159" t="str">
        <f t="shared" si="96"/>
        <v>963.038266286388-209157.091208928j</v>
      </c>
      <c r="AN150" s="159" t="str">
        <f t="shared" si="97"/>
        <v>10963.0382662864-209157.091208928j</v>
      </c>
      <c r="AO150" s="159" t="str">
        <f t="shared" si="98"/>
        <v>29188.3982100369-4144.03511683549j</v>
      </c>
      <c r="AP150" s="159" t="str">
        <f t="shared" si="99"/>
        <v>0.160881279061495+0.0271937076595805j</v>
      </c>
      <c r="AQ150" s="159" t="str">
        <f t="shared" si="82"/>
        <v>1+3.29416506081627j</v>
      </c>
      <c r="AR150" s="159">
        <f t="shared" si="83"/>
        <v>-1.5293578750604556E-6</v>
      </c>
      <c r="AS150" s="159" t="str">
        <f t="shared" si="84"/>
        <v>0.0000898555240147521j</v>
      </c>
      <c r="AT150" s="159" t="str">
        <f t="shared" si="85"/>
        <v>-1.52935787506046E-06+0.0000898555240147521j</v>
      </c>
      <c r="AU150" s="159" t="str">
        <f t="shared" si="86"/>
        <v>5.46910583157901-1.76243165692368j</v>
      </c>
      <c r="AW150" s="159" t="str">
        <f t="shared" si="100"/>
        <v>0.924246400027623-0.15600877319776j</v>
      </c>
      <c r="AX150" s="159">
        <f t="shared" si="87"/>
        <v>-0.56223558595186507</v>
      </c>
      <c r="AY150" s="159">
        <f t="shared" si="88"/>
        <v>170.41903388586505</v>
      </c>
      <c r="AZ150" s="159" t="str">
        <f t="shared" si="89"/>
        <v>32.609744599505-14.0108471429955j</v>
      </c>
      <c r="BA150" s="159">
        <f t="shared" si="90"/>
        <v>31.002668813057504</v>
      </c>
      <c r="BB150" s="159">
        <f t="shared" si="91"/>
        <v>156.74911718931483</v>
      </c>
      <c r="BD150" s="159" t="str">
        <f t="shared" si="92"/>
        <v>0.86762485969399-5.9060278267495j</v>
      </c>
      <c r="BE150" s="159">
        <f t="shared" si="93"/>
        <v>15.518638149986916</v>
      </c>
      <c r="BF150" s="159">
        <f t="shared" si="94"/>
        <v>98.357257559081887</v>
      </c>
      <c r="BH150" s="159">
        <f t="shared" si="101"/>
        <v>-14.518638149986916</v>
      </c>
      <c r="BI150" s="169">
        <f t="shared" si="102"/>
        <v>-98.357257559081887</v>
      </c>
      <c r="BN150" s="165"/>
      <c r="BO150" s="165"/>
      <c r="BP150" s="165"/>
    </row>
    <row r="151" spans="1:68" s="159" customFormat="1">
      <c r="A151" s="159">
        <v>87</v>
      </c>
      <c r="B151" s="159">
        <f t="shared" si="52"/>
        <v>5495.4087385762468</v>
      </c>
      <c r="C151" s="159" t="str">
        <f t="shared" si="53"/>
        <v>34528.6714431686j</v>
      </c>
      <c r="D151" s="159">
        <f t="shared" si="54"/>
        <v>0.99951680772473572</v>
      </c>
      <c r="E151" s="159" t="str">
        <f t="shared" si="55"/>
        <v>-0.0345286714431686j</v>
      </c>
      <c r="F151" s="159" t="str">
        <f t="shared" si="56"/>
        <v>0.999516807724736-0.0345286714431686j</v>
      </c>
      <c r="G151" s="159">
        <f t="shared" si="57"/>
        <v>9.8173363828139501E-4</v>
      </c>
      <c r="H151" s="159">
        <f t="shared" si="58"/>
        <v>-1.9785167381926201</v>
      </c>
      <c r="J151" s="159">
        <f t="shared" si="59"/>
        <v>6.3936063936063938</v>
      </c>
      <c r="K151" s="159" t="str">
        <f t="shared" si="60"/>
        <v>1+8.46073300707682j</v>
      </c>
      <c r="L151" s="159">
        <f t="shared" si="61"/>
        <v>0.29956954205060182</v>
      </c>
      <c r="M151" s="159" t="str">
        <f t="shared" si="62"/>
        <v>0.0924528461460494j</v>
      </c>
      <c r="N151" s="159" t="str">
        <f t="shared" si="63"/>
        <v>0.299569542050602+0.0924528461460494j</v>
      </c>
      <c r="O151" s="159" t="str">
        <f t="shared" si="64"/>
        <v>11.006150781885+24.8462610425252j</v>
      </c>
      <c r="P151" s="159" t="str">
        <f t="shared" si="65"/>
        <v>70.3689960080559+158.857213458703j</v>
      </c>
      <c r="R151" s="159">
        <f t="shared" si="66"/>
        <v>31.968031968031973</v>
      </c>
      <c r="S151" s="159" t="str">
        <f t="shared" si="67"/>
        <v>1+0.0012085035005109j</v>
      </c>
      <c r="T151" s="159" t="str">
        <f t="shared" si="68"/>
        <v>0.299569542050602+0.0924528461460494j</v>
      </c>
      <c r="U151" s="159" t="str">
        <f t="shared" si="69"/>
        <v>3.04896715068353-0.936934995008877j</v>
      </c>
      <c r="V151" s="159" t="str">
        <f t="shared" si="70"/>
        <v>97.4694793425304-29.9519678724117j</v>
      </c>
      <c r="X151" s="159" t="str">
        <f t="shared" si="71"/>
        <v>2.97202859619322+6.1286998094796j</v>
      </c>
      <c r="Y151" s="159">
        <f t="shared" si="72"/>
        <v>16.664610255695766</v>
      </c>
      <c r="Z151" s="159">
        <f t="shared" si="73"/>
        <v>-115.87042730704879</v>
      </c>
      <c r="AB151" s="159" t="str">
        <f t="shared" si="74"/>
        <v>42.9286409788727-13.1917938218065j</v>
      </c>
      <c r="AC151" s="159">
        <f t="shared" si="75"/>
        <v>33.046825659450256</v>
      </c>
      <c r="AD151" s="159">
        <f t="shared" si="76"/>
        <v>162.91802338899745</v>
      </c>
      <c r="AF151" s="159" t="str">
        <f t="shared" si="77"/>
        <v>1.68107712083669-5.91501553501302j</v>
      </c>
      <c r="AG151" s="159">
        <f t="shared" si="78"/>
        <v>15.776460626246831</v>
      </c>
      <c r="AH151" s="159">
        <f t="shared" si="79"/>
        <v>105.86541600407389</v>
      </c>
      <c r="AJ151" s="159" t="str">
        <f t="shared" si="80"/>
        <v>150720.130590805-31966.5888505866j</v>
      </c>
      <c r="AK151" s="159" t="str">
        <f t="shared" si="81"/>
        <v>30000-0.0000310758042988518j</v>
      </c>
      <c r="AL151" s="159" t="str">
        <f t="shared" si="95"/>
        <v>10000-643587.525769654j</v>
      </c>
      <c r="AM151" s="159" t="str">
        <f t="shared" si="96"/>
        <v>963.028537210028-199744.379337602j</v>
      </c>
      <c r="AN151" s="159" t="str">
        <f t="shared" si="97"/>
        <v>10963.02853721-199744.379337602j</v>
      </c>
      <c r="AO151" s="159" t="str">
        <f t="shared" si="98"/>
        <v>29113.2645008852-4323.90957573776j</v>
      </c>
      <c r="AP151" s="159" t="str">
        <f t="shared" si="99"/>
        <v>0.160966205477+0.0284724256585416j</v>
      </c>
      <c r="AQ151" s="159" t="str">
        <f t="shared" si="82"/>
        <v>1+3.44941427717254j</v>
      </c>
      <c r="AR151" s="159">
        <f t="shared" si="83"/>
        <v>-1.6865553837179901E-6</v>
      </c>
      <c r="AS151" s="159" t="str">
        <f t="shared" si="84"/>
        <v>0.00009409028439592j</v>
      </c>
      <c r="AT151" s="159" t="str">
        <f t="shared" si="85"/>
        <v>-1.68655538371799E-06+0.00009409028439592j</v>
      </c>
      <c r="AU151" s="159" t="str">
        <f t="shared" si="86"/>
        <v>5.46876957256248-1.69224042404767j</v>
      </c>
      <c r="AW151" s="159" t="str">
        <f t="shared" si="100"/>
        <v>0.925155985239712-0.138896507643231j</v>
      </c>
      <c r="AX151" s="159">
        <f t="shared" si="87"/>
        <v>-0.57889794635201064</v>
      </c>
      <c r="AY151" s="159">
        <f t="shared" si="88"/>
        <v>171.46177799859089</v>
      </c>
      <c r="AZ151" s="159" t="str">
        <f t="shared" si="89"/>
        <v>37.8833950484124-18.1671053201281j</v>
      </c>
      <c r="BA151" s="159">
        <f t="shared" si="90"/>
        <v>32.467927713098263</v>
      </c>
      <c r="BB151" s="159">
        <f t="shared" si="91"/>
        <v>154.37980138758829</v>
      </c>
      <c r="BD151" s="159" t="str">
        <f t="shared" si="92"/>
        <v>0.73368355952284-5.70580776616634j</v>
      </c>
      <c r="BE151" s="159">
        <f t="shared" si="93"/>
        <v>15.197562679894842</v>
      </c>
      <c r="BF151" s="159">
        <f t="shared" si="94"/>
        <v>97.327194002664754</v>
      </c>
      <c r="BH151" s="159">
        <f t="shared" si="101"/>
        <v>-14.197562679894842</v>
      </c>
      <c r="BI151" s="169">
        <f t="shared" si="102"/>
        <v>-97.327194002664754</v>
      </c>
      <c r="BN151" s="165"/>
      <c r="BO151" s="165"/>
      <c r="BP151" s="165"/>
    </row>
    <row r="152" spans="1:68" s="159" customFormat="1">
      <c r="A152" s="159">
        <v>88</v>
      </c>
      <c r="B152" s="159">
        <f t="shared" si="52"/>
        <v>5754.3993733715697</v>
      </c>
      <c r="C152" s="159" t="str">
        <f t="shared" si="53"/>
        <v>36155.9575944117j</v>
      </c>
      <c r="D152" s="159">
        <f t="shared" si="54"/>
        <v>0.99947019020562788</v>
      </c>
      <c r="E152" s="159" t="str">
        <f t="shared" si="55"/>
        <v>-0.0361559575944117j</v>
      </c>
      <c r="F152" s="159" t="str">
        <f t="shared" si="56"/>
        <v>0.999470190205628-0.0361559575944117j</v>
      </c>
      <c r="G152" s="159">
        <f t="shared" si="57"/>
        <v>1.0765450289144161E-3</v>
      </c>
      <c r="H152" s="159">
        <f t="shared" si="58"/>
        <v>-2.0717784796531742</v>
      </c>
      <c r="J152" s="159">
        <f t="shared" si="59"/>
        <v>6.3936063936063938</v>
      </c>
      <c r="K152" s="159" t="str">
        <f t="shared" si="60"/>
        <v>1+8.85947506914667j</v>
      </c>
      <c r="L152" s="159">
        <f t="shared" si="61"/>
        <v>0.23199327494389888</v>
      </c>
      <c r="M152" s="159" t="str">
        <f t="shared" si="62"/>
        <v>0.0968100145480859j</v>
      </c>
      <c r="N152" s="159" t="str">
        <f t="shared" si="63"/>
        <v>0.231993274943899+0.0968100145480859j</v>
      </c>
      <c r="O152" s="159" t="str">
        <f t="shared" si="64"/>
        <v>17.2436531878844+30.992780954121j</v>
      </c>
      <c r="P152" s="159" t="str">
        <f t="shared" si="65"/>
        <v>110.249131271189+198.15564246391j</v>
      </c>
      <c r="R152" s="159">
        <f t="shared" si="66"/>
        <v>31.968031968031973</v>
      </c>
      <c r="S152" s="159" t="str">
        <f t="shared" si="67"/>
        <v>1+0.00126545851580441j</v>
      </c>
      <c r="T152" s="159" t="str">
        <f t="shared" si="68"/>
        <v>0.231993274943899+0.0968100145480859j</v>
      </c>
      <c r="U152" s="159" t="str">
        <f t="shared" si="69"/>
        <v>3.67312153231206-1.52732655957333j</v>
      </c>
      <c r="V152" s="159" t="str">
        <f t="shared" si="70"/>
        <v>117.422466567419-48.8256242820645j</v>
      </c>
      <c r="X152" s="159" t="str">
        <f t="shared" si="71"/>
        <v>4.60013883350798+7.60702049444211j</v>
      </c>
      <c r="Y152" s="159">
        <f t="shared" si="72"/>
        <v>18.977812005007213</v>
      </c>
      <c r="Z152" s="159">
        <f t="shared" si="73"/>
        <v>-121.16231060603289</v>
      </c>
      <c r="AB152" s="159" t="str">
        <f t="shared" si="74"/>
        <v>51.7165675258397-21.5043489460755j</v>
      </c>
      <c r="AC152" s="159">
        <f t="shared" si="75"/>
        <v>34.965201090090567</v>
      </c>
      <c r="AD152" s="159">
        <f t="shared" si="76"/>
        <v>157.42189189515759</v>
      </c>
      <c r="AF152" s="159" t="str">
        <f t="shared" si="77"/>
        <v>1.4125105233119-5.75866891952087j</v>
      </c>
      <c r="AG152" s="159">
        <f t="shared" si="78"/>
        <v>15.460174135368927</v>
      </c>
      <c r="AH152" s="159">
        <f t="shared" si="79"/>
        <v>103.78166129732206</v>
      </c>
      <c r="AJ152" s="159" t="str">
        <f t="shared" si="80"/>
        <v>150096.767213261-33334.6862624608j</v>
      </c>
      <c r="AK152" s="159" t="str">
        <f t="shared" si="81"/>
        <v>30000-0.0000325403618349705j</v>
      </c>
      <c r="AL152" s="159" t="str">
        <f t="shared" si="95"/>
        <v>10000-614621.315565899j</v>
      </c>
      <c r="AM152" s="159" t="str">
        <f t="shared" si="96"/>
        <v>963.017869715858-190755.352054912j</v>
      </c>
      <c r="AN152" s="159" t="str">
        <f t="shared" si="97"/>
        <v>10963.0178697159-190755.352054912j</v>
      </c>
      <c r="AO152" s="159" t="str">
        <f t="shared" si="98"/>
        <v>29031.4945140078-4510.10726180418j</v>
      </c>
      <c r="AP152" s="159" t="str">
        <f t="shared" si="99"/>
        <v>0.161059305683634+0.0298109815094947j</v>
      </c>
      <c r="AQ152" s="159" t="str">
        <f t="shared" si="82"/>
        <v>1+3.61198016368173j</v>
      </c>
      <c r="AR152" s="159">
        <f t="shared" si="83"/>
        <v>-1.858919024448997E-6</v>
      </c>
      <c r="AS152" s="159" t="str">
        <f t="shared" si="84"/>
        <v>0.0000985246228851959j</v>
      </c>
      <c r="AT152" s="159" t="str">
        <f t="shared" si="85"/>
        <v>-0.000001858919024449+0.0000985246228851959j</v>
      </c>
      <c r="AU152" s="159" t="str">
        <f t="shared" si="86"/>
        <v>5.46843093006774-1.62563799382839j</v>
      </c>
      <c r="AW152" s="159" t="str">
        <f t="shared" si="100"/>
        <v>0.926157670849481-0.122088697781745j</v>
      </c>
      <c r="AX152" s="159">
        <f t="shared" si="87"/>
        <v>-0.59148121541444476</v>
      </c>
      <c r="AY152" s="159">
        <f t="shared" si="88"/>
        <v>172.49040882079279</v>
      </c>
      <c r="AZ152" s="159" t="str">
        <f t="shared" si="89"/>
        <v>45.272257764591-26.2304261160033j</v>
      </c>
      <c r="BA152" s="159">
        <f t="shared" si="90"/>
        <v>34.373719874676134</v>
      </c>
      <c r="BB152" s="159">
        <f t="shared" si="91"/>
        <v>149.91230071595029</v>
      </c>
      <c r="BD152" s="159" t="str">
        <f t="shared" si="92"/>
        <v>0.605139066980411-5.50588696409091j</v>
      </c>
      <c r="BE152" s="159">
        <f t="shared" si="93"/>
        <v>14.868692919954485</v>
      </c>
      <c r="BF152" s="159">
        <f t="shared" si="94"/>
        <v>96.272070118114783</v>
      </c>
      <c r="BH152" s="159">
        <f t="shared" si="101"/>
        <v>-13.868692919954485</v>
      </c>
      <c r="BI152" s="169">
        <f t="shared" si="102"/>
        <v>-96.272070118114783</v>
      </c>
      <c r="BN152" s="165"/>
      <c r="BO152" s="165"/>
      <c r="BP152" s="165"/>
    </row>
    <row r="153" spans="1:68" s="159" customFormat="1">
      <c r="A153" s="159">
        <v>89</v>
      </c>
      <c r="B153" s="159">
        <f t="shared" si="52"/>
        <v>6025.5958607435823</v>
      </c>
      <c r="C153" s="159" t="str">
        <f t="shared" si="53"/>
        <v>37859.9353792262j</v>
      </c>
      <c r="D153" s="159">
        <f t="shared" si="54"/>
        <v>0.99941907511236783</v>
      </c>
      <c r="E153" s="159" t="str">
        <f t="shared" si="55"/>
        <v>-0.0378599353792262j</v>
      </c>
      <c r="F153" s="159" t="str">
        <f t="shared" si="56"/>
        <v>0.999419075112368-0.0378599353792262j</v>
      </c>
      <c r="G153" s="159">
        <f t="shared" si="57"/>
        <v>1.1805229622985345E-3</v>
      </c>
      <c r="H153" s="159">
        <f t="shared" si="58"/>
        <v>-2.1694380453044797</v>
      </c>
      <c r="J153" s="159">
        <f t="shared" si="59"/>
        <v>6.3936063936063938</v>
      </c>
      <c r="K153" s="159" t="str">
        <f t="shared" si="60"/>
        <v>1+9.27700926564869j</v>
      </c>
      <c r="L153" s="159">
        <f t="shared" si="61"/>
        <v>0.15789737148465621</v>
      </c>
      <c r="M153" s="159" t="str">
        <f t="shared" si="62"/>
        <v>0.101372529970524j</v>
      </c>
      <c r="N153" s="159" t="str">
        <f t="shared" si="63"/>
        <v>0.157897371484656+0.101372529970524j</v>
      </c>
      <c r="O153" s="159" t="str">
        <f t="shared" si="64"/>
        <v>31.1955298463798+38.7254038737711j</v>
      </c>
      <c r="P153" s="159" t="str">
        <f t="shared" si="65"/>
        <v>199.451939077753+247.594989802333j</v>
      </c>
      <c r="R153" s="159">
        <f t="shared" si="66"/>
        <v>31.968031968031973</v>
      </c>
      <c r="S153" s="159" t="str">
        <f t="shared" si="67"/>
        <v>1+0.00132509773827292j</v>
      </c>
      <c r="T153" s="159" t="str">
        <f t="shared" si="68"/>
        <v>0.157897371484656+0.101372529970524j</v>
      </c>
      <c r="U153" s="159" t="str">
        <f t="shared" si="69"/>
        <v>4.48852067010045-2.87330684576272j</v>
      </c>
      <c r="V153" s="159" t="str">
        <f t="shared" si="70"/>
        <v>143.489172270943-91.8539650993078j</v>
      </c>
      <c r="X153" s="159" t="str">
        <f t="shared" si="71"/>
        <v>8.18110118867948+9.40369641865242j</v>
      </c>
      <c r="Y153" s="159">
        <f t="shared" si="72"/>
        <v>21.913389972995915</v>
      </c>
      <c r="Z153" s="159">
        <f t="shared" si="73"/>
        <v>-131.02287126028205</v>
      </c>
      <c r="AB153" s="159" t="str">
        <f t="shared" si="74"/>
        <v>63.1971690248593-40.4553909268037j</v>
      </c>
      <c r="AC153" s="159">
        <f t="shared" si="75"/>
        <v>37.505485693054304</v>
      </c>
      <c r="AD153" s="159">
        <f t="shared" si="76"/>
        <v>147.3748383413504</v>
      </c>
      <c r="AF153" s="159" t="str">
        <f t="shared" si="77"/>
        <v>1.15670987982962-5.59113100119971j</v>
      </c>
      <c r="AG153" s="159">
        <f t="shared" si="78"/>
        <v>15.132005958894247</v>
      </c>
      <c r="AH153" s="159">
        <f t="shared" si="79"/>
        <v>101.68862385170361</v>
      </c>
      <c r="AJ153" s="159" t="str">
        <f t="shared" si="80"/>
        <v>149419.162652361-34748.121532166j</v>
      </c>
      <c r="AK153" s="159" t="str">
        <f t="shared" si="81"/>
        <v>30000-0.0000340739418413037j</v>
      </c>
      <c r="AL153" s="159" t="str">
        <f t="shared" si="95"/>
        <v>10000-586958.799576176j</v>
      </c>
      <c r="AM153" s="159" t="str">
        <f t="shared" si="96"/>
        <v>963.006173312716-182170.942425828j</v>
      </c>
      <c r="AN153" s="159" t="str">
        <f t="shared" si="97"/>
        <v>10963.0061733127-182170.942425828j</v>
      </c>
      <c r="AO153" s="159" t="str">
        <f t="shared" si="98"/>
        <v>28942.56329933-4702.6392274301j</v>
      </c>
      <c r="AP153" s="159" t="str">
        <f t="shared" si="99"/>
        <v>0.161161364285965+0.0312121323114544j</v>
      </c>
      <c r="AQ153" s="159" t="str">
        <f t="shared" si="82"/>
        <v>1+3.7822075443847j</v>
      </c>
      <c r="AR153" s="159">
        <f t="shared" si="83"/>
        <v>-2.0479119983183912E-6</v>
      </c>
      <c r="AS153" s="159" t="str">
        <f t="shared" si="84"/>
        <v>0.000103167945309038j</v>
      </c>
      <c r="AT153" s="159" t="str">
        <f t="shared" si="85"/>
        <v>-2.04791199831839E-06+0.000103167945309038j</v>
      </c>
      <c r="AU153" s="159" t="str">
        <f t="shared" si="86"/>
        <v>5.46808703302167-1.5624830034165j</v>
      </c>
      <c r="AW153" s="159" t="str">
        <f t="shared" si="100"/>
        <v>0.92725982657252-0.105551144900818j</v>
      </c>
      <c r="AX153" s="159">
        <f t="shared" si="87"/>
        <v>-0.60005863903884515</v>
      </c>
      <c r="AY153" s="159">
        <f t="shared" si="88"/>
        <v>173.50590274929027</v>
      </c>
      <c r="AZ153" s="159" t="str">
        <f t="shared" si="89"/>
        <v>54.330083160131-44.1831923197759j</v>
      </c>
      <c r="BA153" s="159">
        <f t="shared" si="90"/>
        <v>36.905427054015469</v>
      </c>
      <c r="BB153" s="159">
        <f t="shared" si="91"/>
        <v>140.8807410906407</v>
      </c>
      <c r="BD153" s="159" t="str">
        <f t="shared" si="92"/>
        <v>0.482420324098451-5.30652321465079j</v>
      </c>
      <c r="BE153" s="159">
        <f t="shared" si="93"/>
        <v>14.531947319855403</v>
      </c>
      <c r="BF153" s="159">
        <f t="shared" si="94"/>
        <v>95.194526600993925</v>
      </c>
      <c r="BH153" s="159">
        <f t="shared" si="101"/>
        <v>-13.531947319855403</v>
      </c>
      <c r="BI153" s="169">
        <f t="shared" si="102"/>
        <v>-95.194526600993925</v>
      </c>
      <c r="BN153" s="165"/>
      <c r="BO153" s="165"/>
      <c r="BP153" s="165"/>
    </row>
    <row r="154" spans="1:68" s="159" customFormat="1">
      <c r="A154" s="159">
        <v>90</v>
      </c>
      <c r="B154" s="159">
        <f t="shared" si="52"/>
        <v>6309.5734448019366</v>
      </c>
      <c r="C154" s="159" t="str">
        <f t="shared" si="53"/>
        <v>39644.21916295j</v>
      </c>
      <c r="D154" s="159">
        <f t="shared" si="54"/>
        <v>0.99936302852711445</v>
      </c>
      <c r="E154" s="159" t="str">
        <f t="shared" si="55"/>
        <v>-0.03964421916295j</v>
      </c>
      <c r="F154" s="159" t="str">
        <f t="shared" si="56"/>
        <v>0.999363028527114-0.03964421916295j</v>
      </c>
      <c r="G154" s="159">
        <f t="shared" si="57"/>
        <v>1.2945557140900768E-3</v>
      </c>
      <c r="H154" s="159">
        <f t="shared" si="58"/>
        <v>-2.2717030728952481</v>
      </c>
      <c r="J154" s="159">
        <f t="shared" si="59"/>
        <v>6.3936063936063938</v>
      </c>
      <c r="K154" s="159" t="str">
        <f t="shared" si="60"/>
        <v>1+9.71422124259345j</v>
      </c>
      <c r="L154" s="159">
        <f t="shared" si="61"/>
        <v>7.6652828918060578E-2</v>
      </c>
      <c r="M154" s="159" t="str">
        <f t="shared" si="62"/>
        <v>0.106150070120281j</v>
      </c>
      <c r="N154" s="159" t="str">
        <f t="shared" si="63"/>
        <v>0.0766528289180606+0.106150070120281j</v>
      </c>
      <c r="O154" s="159" t="str">
        <f t="shared" si="64"/>
        <v>64.620323191982+37.2428447177206j</v>
      </c>
      <c r="P154" s="159" t="str">
        <f t="shared" si="65"/>
        <v>413.156911517168+238.116090103309j</v>
      </c>
      <c r="R154" s="159">
        <f t="shared" si="66"/>
        <v>31.968031968031973</v>
      </c>
      <c r="S154" s="159" t="str">
        <f t="shared" si="67"/>
        <v>1+0.00138754767070325j</v>
      </c>
      <c r="T154" s="159" t="str">
        <f t="shared" si="68"/>
        <v>0.0766528289180606+0.106150070120281j</v>
      </c>
      <c r="U154" s="159" t="str">
        <f t="shared" si="69"/>
        <v>4.47984052360134-6.18565348115338j</v>
      </c>
      <c r="V154" s="159" t="str">
        <f t="shared" si="70"/>
        <v>143.211685070173-197.74316822868j</v>
      </c>
      <c r="X154" s="159" t="str">
        <f t="shared" si="71"/>
        <v>16.5548101846975+8.68578590971352j</v>
      </c>
      <c r="Y154" s="159">
        <f t="shared" si="72"/>
        <v>25.434529173544203</v>
      </c>
      <c r="Z154" s="159">
        <f t="shared" si="73"/>
        <v>-152.31542294599268</v>
      </c>
      <c r="AB154" s="159" t="str">
        <f t="shared" si="74"/>
        <v>63.0749548866651-87.0923445182471j</v>
      </c>
      <c r="AC154" s="159">
        <f t="shared" si="75"/>
        <v>40.630902965267701</v>
      </c>
      <c r="AD154" s="159">
        <f t="shared" si="76"/>
        <v>125.91321204215302</v>
      </c>
      <c r="AF154" s="159" t="str">
        <f t="shared" si="77"/>
        <v>0.914469191442033-5.41362892200244j</v>
      </c>
      <c r="AG154" s="159">
        <f t="shared" si="78"/>
        <v>14.791955792881595</v>
      </c>
      <c r="AH154" s="159">
        <f t="shared" si="79"/>
        <v>99.58788289542413</v>
      </c>
      <c r="AJ154" s="159" t="str">
        <f t="shared" si="80"/>
        <v>148683.181272637-36206.5278242533j</v>
      </c>
      <c r="AK154" s="159" t="str">
        <f t="shared" si="81"/>
        <v>30000-0.000035679797246655j</v>
      </c>
      <c r="AL154" s="159" t="str">
        <f t="shared" si="95"/>
        <v>10000-560541.301895291j</v>
      </c>
      <c r="AM154" s="159" t="str">
        <f t="shared" si="96"/>
        <v>962.993348788252-173972.941763171j</v>
      </c>
      <c r="AN154" s="159" t="str">
        <f t="shared" si="97"/>
        <v>10962.9933487883-173972.941763171j</v>
      </c>
      <c r="AO154" s="159" t="str">
        <f t="shared" si="98"/>
        <v>28845.9160362736-4901.48217107911j</v>
      </c>
      <c r="AP154" s="159" t="str">
        <f t="shared" si="99"/>
        <v>0.161273240781671+0.032678755818848j</v>
      </c>
      <c r="AQ154" s="159" t="str">
        <f t="shared" si="82"/>
        <v>1+3.96045749437871j</v>
      </c>
      <c r="AR154" s="159">
        <f t="shared" si="83"/>
        <v>-2.2551386733904549E-6</v>
      </c>
      <c r="AS154" s="159" t="str">
        <f t="shared" si="84"/>
        <v>0.000108030100776847j</v>
      </c>
      <c r="AT154" s="159" t="str">
        <f t="shared" si="85"/>
        <v>-2.25513867339045E-06+0.000108030100776847j</v>
      </c>
      <c r="AU154" s="159" t="str">
        <f t="shared" si="86"/>
        <v>5.46773496648492-1.50264138801544j</v>
      </c>
      <c r="AW154" s="159" t="str">
        <f t="shared" si="100"/>
        <v>0.928471648090039-0.0892504370895157j</v>
      </c>
      <c r="AX154" s="159">
        <f t="shared" si="87"/>
        <v>-0.60468147119934956</v>
      </c>
      <c r="AY154" s="159">
        <f t="shared" si="88"/>
        <v>174.50924581531797</v>
      </c>
      <c r="AZ154" s="159" t="str">
        <f t="shared" si="89"/>
        <v>50.7902775014225-86.4922399439187j</v>
      </c>
      <c r="BA154" s="159">
        <f t="shared" si="90"/>
        <v>40.026221494068352</v>
      </c>
      <c r="BB154" s="159">
        <f t="shared" si="91"/>
        <v>120.42245785747097</v>
      </c>
      <c r="BD154" s="159" t="str">
        <f t="shared" si="92"/>
        <v>0.365889969776586-5.1080177424006j</v>
      </c>
      <c r="BE154" s="159">
        <f t="shared" si="93"/>
        <v>14.187274321682235</v>
      </c>
      <c r="BF154" s="159">
        <f t="shared" si="94"/>
        <v>94.097128710742084</v>
      </c>
      <c r="BH154" s="159">
        <f t="shared" si="101"/>
        <v>-13.187274321682235</v>
      </c>
      <c r="BI154" s="169">
        <f t="shared" si="102"/>
        <v>-94.097128710742084</v>
      </c>
      <c r="BN154" s="165"/>
      <c r="BO154" s="165"/>
      <c r="BP154" s="165"/>
    </row>
    <row r="155" spans="1:68" s="159" customFormat="1">
      <c r="A155" s="159">
        <v>91</v>
      </c>
      <c r="B155" s="159">
        <f t="shared" si="52"/>
        <v>6606.9344800759627</v>
      </c>
      <c r="C155" s="159" t="str">
        <f t="shared" si="53"/>
        <v>41512.5936507115j</v>
      </c>
      <c r="D155" s="159">
        <f t="shared" si="54"/>
        <v>0.99930157466841574</v>
      </c>
      <c r="E155" s="159" t="str">
        <f t="shared" si="55"/>
        <v>-0.0415125936507115j</v>
      </c>
      <c r="F155" s="159" t="str">
        <f t="shared" si="56"/>
        <v>0.999301574668416-0.0415125936507115j</v>
      </c>
      <c r="G155" s="159">
        <f t="shared" si="57"/>
        <v>1.4196180483111488E-3</v>
      </c>
      <c r="H155" s="159">
        <f t="shared" si="58"/>
        <v>-2.3787910411685487</v>
      </c>
      <c r="J155" s="159">
        <f t="shared" si="59"/>
        <v>6.3936063936063938</v>
      </c>
      <c r="K155" s="159" t="str">
        <f t="shared" si="60"/>
        <v>1+10.1720383852021j</v>
      </c>
      <c r="L155" s="159">
        <f t="shared" si="61"/>
        <v>-1.2430040561838496E-2</v>
      </c>
      <c r="M155" s="159" t="str">
        <f t="shared" si="62"/>
        <v>0.111152768800551j</v>
      </c>
      <c r="N155" s="159" t="str">
        <f t="shared" si="63"/>
        <v>-0.0124300405618385+0.111152768800551j</v>
      </c>
      <c r="O155" s="159" t="str">
        <f t="shared" si="64"/>
        <v>89.3900798000708-18.9929800266963j</v>
      </c>
      <c r="P155" s="159" t="str">
        <f t="shared" si="65"/>
        <v>571.524985734718-121.433638532324j</v>
      </c>
      <c r="R155" s="159">
        <f t="shared" si="66"/>
        <v>31.968031968031973</v>
      </c>
      <c r="S155" s="159" t="str">
        <f t="shared" si="67"/>
        <v>1+0.0014529407777749j</v>
      </c>
      <c r="T155" s="159" t="str">
        <f t="shared" si="68"/>
        <v>-0.0124300405618385+0.111152768800551j</v>
      </c>
      <c r="U155" s="159" t="str">
        <f t="shared" si="69"/>
        <v>-0.980742409459201-8.88695209961167j</v>
      </c>
      <c r="V155" s="159" t="str">
        <f t="shared" si="70"/>
        <v>-31.3524046979964-284.098368818755j</v>
      </c>
      <c r="X155" s="159" t="str">
        <f t="shared" si="71"/>
        <v>22.1896263243543-5.68668295619553j</v>
      </c>
      <c r="Y155" s="159">
        <f t="shared" si="72"/>
        <v>27.19925862784169</v>
      </c>
      <c r="Z155" s="159">
        <f t="shared" si="73"/>
        <v>165.62578882507901</v>
      </c>
      <c r="AB155" s="159" t="str">
        <f t="shared" si="74"/>
        <v>-13.8085904857945-125.125905667807j</v>
      </c>
      <c r="AC155" s="159">
        <f t="shared" si="75"/>
        <v>41.999517014939968</v>
      </c>
      <c r="AD155" s="159">
        <f t="shared" si="76"/>
        <v>83.702460162535615</v>
      </c>
      <c r="AF155" s="159" t="str">
        <f t="shared" si="77"/>
        <v>0.686436187218475-5.22743915774638j</v>
      </c>
      <c r="AG155" s="159">
        <f t="shared" si="78"/>
        <v>14.440028452171635</v>
      </c>
      <c r="AH155" s="159">
        <f t="shared" si="79"/>
        <v>97.480937711745867</v>
      </c>
      <c r="AJ155" s="159" t="str">
        <f t="shared" si="80"/>
        <v>147884.482285176-37709.2277720019j</v>
      </c>
      <c r="AK155" s="159" t="str">
        <f t="shared" si="81"/>
        <v>30000-0.0000373613342856405j</v>
      </c>
      <c r="AL155" s="159" t="str">
        <f t="shared" si="95"/>
        <v>10000-535312.787468805j</v>
      </c>
      <c r="AM155" s="159" t="str">
        <f t="shared" si="96"/>
        <v>962.979287369397-166143.961004479j</v>
      </c>
      <c r="AN155" s="159" t="str">
        <f t="shared" si="97"/>
        <v>10962.9792873694-166143.961004479j</v>
      </c>
      <c r="AO155" s="159" t="str">
        <f t="shared" si="98"/>
        <v>28740.9686197561-5106.57338693532j</v>
      </c>
      <c r="AP155" s="159" t="str">
        <f t="shared" si="99"/>
        <v>0.16139587662524+0.0342138547646599j</v>
      </c>
      <c r="AQ155" s="159" t="str">
        <f t="shared" si="82"/>
        <v>1+4.14710810570608j</v>
      </c>
      <c r="AR155" s="159">
        <f t="shared" si="83"/>
        <v>-2.4823582042662218E-6</v>
      </c>
      <c r="AS155" s="159" t="str">
        <f t="shared" si="84"/>
        <v>0.000113121402572252j</v>
      </c>
      <c r="AT155" s="159" t="str">
        <f t="shared" si="85"/>
        <v>-2.48235820426622E-06+0.000113121402572252j</v>
      </c>
      <c r="AU155" s="159" t="str">
        <f t="shared" si="86"/>
        <v>5.46737174705641-1.44598609452003j</v>
      </c>
      <c r="AW155" s="159" t="str">
        <f t="shared" si="100"/>
        <v>0.929803229696348-0.0731539096339204j</v>
      </c>
      <c r="AX155" s="159">
        <f t="shared" si="87"/>
        <v>-0.60537888096145975</v>
      </c>
      <c r="AY155" s="159">
        <f t="shared" si="88"/>
        <v>175.50142030160706</v>
      </c>
      <c r="AZ155" s="159" t="str">
        <f t="shared" si="89"/>
        <v>-21.9927212273312-115.332318828038j</v>
      </c>
      <c r="BA155" s="159">
        <f t="shared" si="90"/>
        <v>41.394138133978508</v>
      </c>
      <c r="BB155" s="159">
        <f t="shared" si="91"/>
        <v>79.203880464142685</v>
      </c>
      <c r="BD155" s="159" t="str">
        <f t="shared" si="92"/>
        <v>0.25584297209359-4.91070530272298j</v>
      </c>
      <c r="BE155" s="159">
        <f t="shared" si="93"/>
        <v>13.834649571210187</v>
      </c>
      <c r="BF155" s="159">
        <f t="shared" si="94"/>
        <v>92.982358013352936</v>
      </c>
      <c r="BH155" s="159">
        <f t="shared" si="101"/>
        <v>-12.834649571210187</v>
      </c>
      <c r="BI155" s="169">
        <f t="shared" si="102"/>
        <v>-92.982358013352936</v>
      </c>
      <c r="BN155" s="165"/>
      <c r="BO155" s="165"/>
      <c r="BP155" s="165"/>
    </row>
    <row r="156" spans="1:68" s="159" customFormat="1">
      <c r="A156" s="159">
        <v>92</v>
      </c>
      <c r="B156" s="159">
        <f t="shared" si="52"/>
        <v>6918.309709189366</v>
      </c>
      <c r="C156" s="159" t="str">
        <f t="shared" si="53"/>
        <v>43469.0219152965j</v>
      </c>
      <c r="D156" s="159">
        <f t="shared" si="54"/>
        <v>0.99923419185228379</v>
      </c>
      <c r="E156" s="159" t="str">
        <f t="shared" si="55"/>
        <v>-0.0434690219152965j</v>
      </c>
      <c r="F156" s="159" t="str">
        <f t="shared" si="56"/>
        <v>0.999234191852284-0.0434690219152965j</v>
      </c>
      <c r="G156" s="159">
        <f t="shared" si="57"/>
        <v>1.5567797209745599E-3</v>
      </c>
      <c r="H156" s="159">
        <f t="shared" si="58"/>
        <v>-2.4909297418037681</v>
      </c>
      <c r="J156" s="159">
        <f t="shared" si="59"/>
        <v>6.3936063936063938</v>
      </c>
      <c r="K156" s="159" t="str">
        <f t="shared" si="60"/>
        <v>1+10.6514317850147j</v>
      </c>
      <c r="L156" s="159">
        <f t="shared" si="61"/>
        <v>-0.1101074645964184</v>
      </c>
      <c r="M156" s="159" t="str">
        <f t="shared" si="62"/>
        <v>0.116391237405958j</v>
      </c>
      <c r="N156" s="159" t="str">
        <f t="shared" si="63"/>
        <v>-0.110107464596418+0.116391237405958j</v>
      </c>
      <c r="O156" s="159" t="str">
        <f t="shared" si="64"/>
        <v>44.0046983444319-50.220668628585j</v>
      </c>
      <c r="P156" s="159" t="str">
        <f t="shared" si="65"/>
        <v>281.34872068368-321.091188034909j</v>
      </c>
      <c r="R156" s="159">
        <f t="shared" si="66"/>
        <v>31.968031968031973</v>
      </c>
      <c r="S156" s="159" t="str">
        <f t="shared" si="67"/>
        <v>1+0.00152141576703538j</v>
      </c>
      <c r="T156" s="159" t="str">
        <f t="shared" si="68"/>
        <v>-0.110107464596418+0.116391237405958j</v>
      </c>
      <c r="U156" s="159" t="str">
        <f t="shared" si="69"/>
        <v>-4.28235011576344-4.54055904909606j</v>
      </c>
      <c r="V156" s="159" t="str">
        <f t="shared" si="70"/>
        <v>-136.898305399031-145.15273683424j</v>
      </c>
      <c r="X156" s="159" t="str">
        <f t="shared" si="71"/>
        <v>10.4728654512162-13.0560215929553j</v>
      </c>
      <c r="Y156" s="159">
        <f t="shared" si="72"/>
        <v>24.473760709045365</v>
      </c>
      <c r="Z156" s="159">
        <f t="shared" si="73"/>
        <v>128.73478341974462</v>
      </c>
      <c r="AB156" s="159" t="str">
        <f t="shared" si="74"/>
        <v>-60.2943428315486-63.9298554654217j</v>
      </c>
      <c r="AC156" s="159">
        <f t="shared" si="75"/>
        <v>38.877542163760872</v>
      </c>
      <c r="AD156" s="159">
        <f t="shared" si="76"/>
        <v>46.676324704250732</v>
      </c>
      <c r="AF156" s="159" t="str">
        <f t="shared" si="77"/>
        <v>0.473112057654604-5.03386834530283j</v>
      </c>
      <c r="AG156" s="159">
        <f t="shared" si="78"/>
        <v>14.076231268075315</v>
      </c>
      <c r="AH156" s="159">
        <f t="shared" si="79"/>
        <v>95.369216416372439</v>
      </c>
      <c r="AJ156" s="159" t="str">
        <f t="shared" si="80"/>
        <v>147018.531184491-39255.1926490269j</v>
      </c>
      <c r="AK156" s="159" t="str">
        <f t="shared" si="81"/>
        <v>30000-0.000039122119723767j</v>
      </c>
      <c r="AL156" s="159" t="str">
        <f t="shared" si="95"/>
        <v>10000-511219.743235179j</v>
      </c>
      <c r="AM156" s="159" t="str">
        <f t="shared" si="96"/>
        <v>962.963869802179-158667.393827402j</v>
      </c>
      <c r="AN156" s="159" t="str">
        <f t="shared" si="97"/>
        <v>10962.9638698022-158667.393827402j</v>
      </c>
      <c r="AO156" s="159" t="str">
        <f t="shared" si="98"/>
        <v>28627.108801298-5317.80533527641j</v>
      </c>
      <c r="AP156" s="159" t="str">
        <f t="shared" si="99"/>
        <v>0.161530302940699+0.0358205611884866j</v>
      </c>
      <c r="AQ156" s="159" t="str">
        <f t="shared" si="82"/>
        <v>1+4.34255528933812j</v>
      </c>
      <c r="AR156" s="159">
        <f t="shared" si="83"/>
        <v>-2.7314994656093865E-6</v>
      </c>
      <c r="AS156" s="159" t="str">
        <f t="shared" si="84"/>
        <v>0.000118452650028964j</v>
      </c>
      <c r="AT156" s="159" t="str">
        <f t="shared" si="85"/>
        <v>-2.73149946560939E-06+0.000118452650028964j</v>
      </c>
      <c r="AU156" s="159" t="str">
        <f t="shared" si="86"/>
        <v>5.46699429772755-1.39239680971597j</v>
      </c>
      <c r="AW156" s="159" t="str">
        <f t="shared" si="100"/>
        <v>0.931265643489753-0.0572296115253801j</v>
      </c>
      <c r="AX156" s="159">
        <f t="shared" si="87"/>
        <v>-0.60215795178579323</v>
      </c>
      <c r="AY156" s="159">
        <f t="shared" si="88"/>
        <v>176.48339142120713</v>
      </c>
      <c r="AZ156" s="159" t="str">
        <f t="shared" si="89"/>
        <v>-59.8087307689736-56.0850561707853j</v>
      </c>
      <c r="BA156" s="159">
        <f t="shared" si="90"/>
        <v>38.275384211975073</v>
      </c>
      <c r="BB156" s="159">
        <f t="shared" si="91"/>
        <v>43.159716125457919</v>
      </c>
      <c r="BD156" s="159" t="str">
        <f t="shared" si="92"/>
        <v>0.152506674942892-4.71494466309868j</v>
      </c>
      <c r="BE156" s="159">
        <f t="shared" si="93"/>
        <v>13.474073316289514</v>
      </c>
      <c r="BF156" s="159">
        <f t="shared" si="94"/>
        <v>91.852607837579626</v>
      </c>
      <c r="BH156" s="159">
        <f t="shared" si="101"/>
        <v>-12.474073316289514</v>
      </c>
      <c r="BI156" s="169">
        <f t="shared" si="102"/>
        <v>-91.852607837579626</v>
      </c>
      <c r="BN156" s="165"/>
      <c r="BO156" s="165"/>
      <c r="BP156" s="165"/>
    </row>
    <row r="157" spans="1:68" s="159" customFormat="1">
      <c r="A157" s="159">
        <v>93</v>
      </c>
      <c r="B157" s="159">
        <f t="shared" si="52"/>
        <v>7244.3596007499063</v>
      </c>
      <c r="C157" s="159" t="str">
        <f t="shared" si="53"/>
        <v>45517.6538033572j</v>
      </c>
      <c r="D157" s="159">
        <f t="shared" si="54"/>
        <v>0.99916030806360034</v>
      </c>
      <c r="E157" s="159" t="str">
        <f t="shared" si="55"/>
        <v>-0.0455176538033572j</v>
      </c>
      <c r="F157" s="159" t="str">
        <f t="shared" si="56"/>
        <v>0.9991603080636-0.0455176538033572j</v>
      </c>
      <c r="G157" s="159">
        <f t="shared" si="57"/>
        <v>1.7072148364205113E-3</v>
      </c>
      <c r="H157" s="159">
        <f t="shared" si="58"/>
        <v>-2.6083577747958158</v>
      </c>
      <c r="J157" s="159">
        <f t="shared" si="59"/>
        <v>6.3936063936063938</v>
      </c>
      <c r="K157" s="159" t="str">
        <f t="shared" si="60"/>
        <v>1+11.1534182997056j</v>
      </c>
      <c r="L157" s="159">
        <f t="shared" si="61"/>
        <v>-0.2172086303057672</v>
      </c>
      <c r="M157" s="159" t="str">
        <f t="shared" si="62"/>
        <v>0.121876587430748j</v>
      </c>
      <c r="N157" s="159" t="str">
        <f t="shared" si="63"/>
        <v>-0.217208630305767+0.121876587430748j</v>
      </c>
      <c r="O157" s="159" t="str">
        <f t="shared" si="64"/>
        <v>18.4115370584264-41.0180892956595j</v>
      </c>
      <c r="P157" s="159" t="str">
        <f t="shared" si="65"/>
        <v>117.716121052876-262.253517974247j</v>
      </c>
      <c r="R157" s="159">
        <f t="shared" si="66"/>
        <v>31.968031968031973</v>
      </c>
      <c r="S157" s="159" t="str">
        <f t="shared" si="67"/>
        <v>1+0.0015931178831175j</v>
      </c>
      <c r="T157" s="159" t="str">
        <f t="shared" si="68"/>
        <v>-0.217208630305767+0.121876587430748j</v>
      </c>
      <c r="U157" s="159" t="str">
        <f t="shared" si="69"/>
        <v>-3.49834356872017-1.97026836869508j</v>
      </c>
      <c r="V157" s="159" t="str">
        <f t="shared" si="70"/>
        <v>-111.835159040005-62.9856021960465j</v>
      </c>
      <c r="X157" s="159" t="str">
        <f t="shared" si="71"/>
        <v>4.14249278716087-10.48132156067j</v>
      </c>
      <c r="Y157" s="159">
        <f t="shared" si="72"/>
        <v>21.038664605202676</v>
      </c>
      <c r="Z157" s="159">
        <f t="shared" si="73"/>
        <v>111.565229655387</v>
      </c>
      <c r="AB157" s="159" t="str">
        <f t="shared" si="74"/>
        <v>-49.2557406033935-27.7408510002407j</v>
      </c>
      <c r="AC157" s="159">
        <f t="shared" si="75"/>
        <v>35.045636647219624</v>
      </c>
      <c r="AD157" s="159">
        <f t="shared" si="76"/>
        <v>29.388227303912885</v>
      </c>
      <c r="AF157" s="159" t="str">
        <f t="shared" si="77"/>
        <v>0.274853797756353-4.83423526151605j</v>
      </c>
      <c r="AG157" s="159">
        <f t="shared" si="78"/>
        <v>13.700571867280493</v>
      </c>
      <c r="AH157" s="159">
        <f t="shared" si="79"/>
        <v>93.254087933873919</v>
      </c>
      <c r="AJ157" s="159" t="str">
        <f t="shared" si="80"/>
        <v>146080.61645524-40842.9992502683j</v>
      </c>
      <c r="AK157" s="159" t="str">
        <f t="shared" si="81"/>
        <v>30000-0.0000409658884230216j</v>
      </c>
      <c r="AL157" s="159" t="str">
        <f t="shared" si="95"/>
        <v>10000-488211.064617378j</v>
      </c>
      <c r="AM157" s="159" t="str">
        <f t="shared" si="96"/>
        <v>962.946965343306-151527.381425372j</v>
      </c>
      <c r="AN157" s="159" t="str">
        <f t="shared" si="97"/>
        <v>10962.9469653433-151527.381425372j</v>
      </c>
      <c r="AO157" s="159" t="str">
        <f t="shared" si="98"/>
        <v>28503.6979872003-5535.01986305574j</v>
      </c>
      <c r="AP157" s="159" t="str">
        <f t="shared" si="99"/>
        <v>0.161677648939455+0.0375021407410582j</v>
      </c>
      <c r="AQ157" s="159" t="str">
        <f t="shared" si="82"/>
        <v>1+4.54721361495538j</v>
      </c>
      <c r="AR157" s="159">
        <f t="shared" si="83"/>
        <v>-3.004677426431777E-6</v>
      </c>
      <c r="AS157" s="159" t="str">
        <f t="shared" si="84"/>
        <v>0.00012403515143761j</v>
      </c>
      <c r="AT157" s="159" t="str">
        <f t="shared" si="85"/>
        <v>-3.00467742643178E-06+0.00012403515143761j</v>
      </c>
      <c r="AU157" s="159" t="str">
        <f t="shared" si="86"/>
        <v>5.46659942197765-1.34175970242011j</v>
      </c>
      <c r="AW157" s="159" t="str">
        <f t="shared" si="100"/>
        <v>0.932871025562352-0.0414462786557021j</v>
      </c>
      <c r="AX157" s="159">
        <f t="shared" si="87"/>
        <v>-0.59500377003456562</v>
      </c>
      <c r="AY157" s="159">
        <f t="shared" si="88"/>
        <v>177.45609398813332</v>
      </c>
      <c r="AZ157" s="159" t="str">
        <f t="shared" si="89"/>
        <v>-47.0990082922232-23.8371689721257j</v>
      </c>
      <c r="BA157" s="159">
        <f t="shared" si="90"/>
        <v>34.450632877185058</v>
      </c>
      <c r="BB157" s="159">
        <f t="shared" si="91"/>
        <v>26.844321292046175</v>
      </c>
      <c r="BD157" s="159" t="str">
        <f t="shared" si="92"/>
        <v>0.0560420824566585-4.52110967331155j</v>
      </c>
      <c r="BE157" s="159">
        <f t="shared" si="93"/>
        <v>13.105568097245923</v>
      </c>
      <c r="BF157" s="159">
        <f t="shared" si="94"/>
        <v>90.710181922007209</v>
      </c>
      <c r="BH157" s="159">
        <f t="shared" si="101"/>
        <v>-12.105568097245923</v>
      </c>
      <c r="BI157" s="169">
        <f t="shared" si="102"/>
        <v>-90.710181922007209</v>
      </c>
      <c r="BN157" s="165"/>
      <c r="BO157" s="165"/>
      <c r="BP157" s="165"/>
    </row>
    <row r="158" spans="1:68" s="159" customFormat="1">
      <c r="A158" s="159">
        <v>94</v>
      </c>
      <c r="B158" s="159">
        <f t="shared" si="52"/>
        <v>7585.775750291843</v>
      </c>
      <c r="C158" s="159" t="str">
        <f t="shared" si="53"/>
        <v>47662.8347377929j</v>
      </c>
      <c r="D158" s="159">
        <f t="shared" si="54"/>
        <v>0.99907929610026058</v>
      </c>
      <c r="E158" s="159" t="str">
        <f t="shared" si="55"/>
        <v>-0.0476628347377929j</v>
      </c>
      <c r="F158" s="159" t="str">
        <f t="shared" si="56"/>
        <v>0.999079296100261-0.0476628347377929j</v>
      </c>
      <c r="G158" s="159">
        <f t="shared" si="57"/>
        <v>1.8722121449567383E-3</v>
      </c>
      <c r="H158" s="159">
        <f t="shared" si="58"/>
        <v>-2.7313250685500581</v>
      </c>
      <c r="J158" s="159">
        <f t="shared" si="59"/>
        <v>6.3936063936063938</v>
      </c>
      <c r="K158" s="159" t="str">
        <f t="shared" si="60"/>
        <v>1+11.6790627099751j</v>
      </c>
      <c r="L158" s="159">
        <f t="shared" si="61"/>
        <v>-0.33464272328758304</v>
      </c>
      <c r="M158" s="159" t="str">
        <f t="shared" si="62"/>
        <v>0.127620454037758j</v>
      </c>
      <c r="N158" s="159" t="str">
        <f t="shared" si="63"/>
        <v>-0.334642723287583+0.127620454037758j</v>
      </c>
      <c r="O158" s="159" t="str">
        <f t="shared" si="64"/>
        <v>9.01083604928487-31.4636924379113j</v>
      </c>
      <c r="P158" s="159" t="str">
        <f t="shared" si="65"/>
        <v>57.6117389764467-201.166465137495j</v>
      </c>
      <c r="R158" s="159">
        <f t="shared" si="66"/>
        <v>31.968031968031973</v>
      </c>
      <c r="S158" s="159" t="str">
        <f t="shared" si="67"/>
        <v>1+0.00166819921582275j</v>
      </c>
      <c r="T158" s="159" t="str">
        <f t="shared" si="68"/>
        <v>-0.334642723287583+0.127620454037758j</v>
      </c>
      <c r="U158" s="159" t="str">
        <f t="shared" si="69"/>
        <v>-2.6071778493283-0.999266969916788j</v>
      </c>
      <c r="V158" s="159" t="str">
        <f t="shared" si="70"/>
        <v>-83.3463448336719-31.9445984388983j</v>
      </c>
      <c r="X158" s="159" t="str">
        <f t="shared" si="71"/>
        <v>1.880368780469-7.98578279551994j</v>
      </c>
      <c r="Y158" s="159">
        <f t="shared" si="72"/>
        <v>18.280700000194599</v>
      </c>
      <c r="Z158" s="159">
        <f t="shared" si="73"/>
        <v>103.24977254407656</v>
      </c>
      <c r="AB158" s="159" t="str">
        <f t="shared" si="74"/>
        <v>-36.7083659254226-14.0694113362248j</v>
      </c>
      <c r="AC158" s="159">
        <f t="shared" si="75"/>
        <v>31.890556513754277</v>
      </c>
      <c r="AD158" s="159">
        <f t="shared" si="76"/>
        <v>20.970596170757773</v>
      </c>
      <c r="AF158" s="159" t="str">
        <f t="shared" si="77"/>
        <v>0.0918787373382847-4.62985426961308j</v>
      </c>
      <c r="AG158" s="159">
        <f t="shared" si="78"/>
        <v>13.313056418035817</v>
      </c>
      <c r="AH158" s="159">
        <f t="shared" si="79"/>
        <v>91.136876601187112</v>
      </c>
      <c r="AJ158" s="159" t="str">
        <f t="shared" si="80"/>
        <v>145065.872365112-42470.7849286326j</v>
      </c>
      <c r="AK158" s="159" t="str">
        <f t="shared" si="81"/>
        <v>30000-0.0000428965512640137j</v>
      </c>
      <c r="AL158" s="159" t="str">
        <f t="shared" si="95"/>
        <v>10000-466237.947123228j</v>
      </c>
      <c r="AM158" s="159" t="str">
        <f t="shared" si="96"/>
        <v>962.928430654872-144708.77886886j</v>
      </c>
      <c r="AN158" s="159" t="str">
        <f t="shared" si="97"/>
        <v>10962.9284306549-144708.77886886j</v>
      </c>
      <c r="AO158" s="159" t="str">
        <f t="shared" si="98"/>
        <v>28370.0738032469-5758.00212211565j</v>
      </c>
      <c r="AP158" s="159" t="str">
        <f t="shared" si="99"/>
        <v>0.161839151103551+0.0392619969314303j</v>
      </c>
      <c r="AQ158" s="159" t="str">
        <f t="shared" si="82"/>
        <v>1+4.76151719030551j</v>
      </c>
      <c r="AR158" s="159">
        <f t="shared" si="83"/>
        <v>-3.3042111041403772E-6</v>
      </c>
      <c r="AS158" s="159" t="str">
        <f t="shared" si="84"/>
        <v>0.000129880748032138j</v>
      </c>
      <c r="AT158" s="159" t="str">
        <f t="shared" si="85"/>
        <v>-3.30421110414038E-06+0.000129880748032138j</v>
      </c>
      <c r="AU158" s="159" t="str">
        <f t="shared" si="86"/>
        <v>5.46618377689839-1.29396717896415j</v>
      </c>
      <c r="AW158" s="159" t="str">
        <f t="shared" si="100"/>
        <v>0.934632669661737-0.0257733143764448j</v>
      </c>
      <c r="AX158" s="159">
        <f t="shared" si="87"/>
        <v>-0.58387960375646131</v>
      </c>
      <c r="AY158" s="159">
        <f t="shared" si="88"/>
        <v>178.42041900798182</v>
      </c>
      <c r="AZ158" s="159" t="str">
        <f t="shared" si="89"/>
        <v>-34.6714534052577-12.2036352225034j</v>
      </c>
      <c r="BA158" s="159">
        <f t="shared" si="90"/>
        <v>31.306676909997812</v>
      </c>
      <c r="BB158" s="159">
        <f t="shared" si="91"/>
        <v>19.391015178739593</v>
      </c>
      <c r="BD158" s="159" t="str">
        <f t="shared" si="92"/>
        <v>-0.0334538200442328-4.3295810757352j</v>
      </c>
      <c r="BE158" s="159">
        <f t="shared" si="93"/>
        <v>12.729176814279366</v>
      </c>
      <c r="BF158" s="159">
        <f t="shared" si="94"/>
        <v>89.557295609168946</v>
      </c>
      <c r="BH158" s="159">
        <f t="shared" si="101"/>
        <v>-11.729176814279366</v>
      </c>
      <c r="BI158" s="169">
        <f t="shared" si="102"/>
        <v>-89.557295609168946</v>
      </c>
      <c r="BN158" s="165"/>
      <c r="BO158" s="165"/>
      <c r="BP158" s="165"/>
    </row>
    <row r="159" spans="1:68" s="159" customFormat="1">
      <c r="A159" s="159">
        <v>95</v>
      </c>
      <c r="B159" s="159">
        <f t="shared" si="52"/>
        <v>7943.2823472428199</v>
      </c>
      <c r="C159" s="159" t="str">
        <f t="shared" si="53"/>
        <v>49909.1149349751j</v>
      </c>
      <c r="D159" s="159">
        <f t="shared" si="54"/>
        <v>0.99899046824883164</v>
      </c>
      <c r="E159" s="159" t="str">
        <f t="shared" si="55"/>
        <v>-0.0499091149349751j</v>
      </c>
      <c r="F159" s="159" t="str">
        <f t="shared" si="56"/>
        <v>0.998990468248832-0.0499091149349751j</v>
      </c>
      <c r="G159" s="159">
        <f t="shared" si="57"/>
        <v>2.0531863804340825E-3</v>
      </c>
      <c r="H159" s="159">
        <f t="shared" si="58"/>
        <v>-2.8600934260567992</v>
      </c>
      <c r="J159" s="159">
        <f t="shared" si="59"/>
        <v>6.3936063936063938</v>
      </c>
      <c r="K159" s="159" t="str">
        <f t="shared" si="60"/>
        <v>1+12.2294799780916j</v>
      </c>
      <c r="L159" s="159">
        <f t="shared" si="61"/>
        <v>-0.46340664572599533</v>
      </c>
      <c r="M159" s="159" t="str">
        <f t="shared" si="62"/>
        <v>0.133635020738154j</v>
      </c>
      <c r="N159" s="159" t="str">
        <f t="shared" si="63"/>
        <v>-0.463406645725995+0.133635020738154j</v>
      </c>
      <c r="O159" s="159" t="str">
        <f t="shared" si="64"/>
        <v>5.03379122080074-24.9387644534164j</v>
      </c>
      <c r="P159" s="159" t="str">
        <f t="shared" si="65"/>
        <v>32.1840797333913-159.448643858007j</v>
      </c>
      <c r="R159" s="159">
        <f t="shared" si="66"/>
        <v>31.968031968031973</v>
      </c>
      <c r="S159" s="159" t="str">
        <f t="shared" si="67"/>
        <v>1+0.00174681902272413j</v>
      </c>
      <c r="T159" s="159" t="str">
        <f t="shared" si="68"/>
        <v>-0.463406645725995+0.133635020738154j</v>
      </c>
      <c r="U159" s="159" t="str">
        <f t="shared" si="69"/>
        <v>-1.99125180014664-0.577997309923303j</v>
      </c>
      <c r="V159" s="159" t="str">
        <f t="shared" si="70"/>
        <v>-63.656401203489-18.4774364810646j</v>
      </c>
      <c r="X159" s="159" t="str">
        <f t="shared" si="71"/>
        <v>0.94835264873508-6.30678790346705j</v>
      </c>
      <c r="Y159" s="159">
        <f t="shared" si="72"/>
        <v>16.093269893720855</v>
      </c>
      <c r="Z159" s="159">
        <f t="shared" si="73"/>
        <v>98.551505885585868</v>
      </c>
      <c r="AB159" s="159" t="str">
        <f t="shared" si="74"/>
        <v>-28.036292095789-8.13804733805972j</v>
      </c>
      <c r="AC159" s="159">
        <f t="shared" si="75"/>
        <v>29.305728644705429</v>
      </c>
      <c r="AD159" s="159">
        <f t="shared" si="76"/>
        <v>16.186338853162624</v>
      </c>
      <c r="AF159" s="159" t="str">
        <f t="shared" si="77"/>
        <v>-0.0757291800297983-4.42202042849103j</v>
      </c>
      <c r="AG159" s="159">
        <f t="shared" si="78"/>
        <v>12.913688410973762</v>
      </c>
      <c r="AH159" s="159">
        <f t="shared" si="79"/>
        <v>89.018878730434878</v>
      </c>
      <c r="AJ159" s="159" t="str">
        <f t="shared" si="80"/>
        <v>143969.308685664-44136.2014061483j</v>
      </c>
      <c r="AK159" s="159" t="str">
        <f t="shared" si="81"/>
        <v>30000-0.0000449182034414775j</v>
      </c>
      <c r="AL159" s="159" t="str">
        <f t="shared" si="95"/>
        <v>10000-445253.782824536j</v>
      </c>
      <c r="AM159" s="159" t="str">
        <f t="shared" si="96"/>
        <v>962.908108593204-138197.122980828j</v>
      </c>
      <c r="AN159" s="159" t="str">
        <f t="shared" si="97"/>
        <v>10962.9081085932-138197.122980828j</v>
      </c>
      <c r="AO159" s="159" t="str">
        <f t="shared" si="98"/>
        <v>28225.5535408856-5986.47425391854j</v>
      </c>
      <c r="AP159" s="159" t="str">
        <f t="shared" si="99"/>
        <v>0.162016163198816+0.04110367527685j</v>
      </c>
      <c r="AQ159" s="159" t="str">
        <f t="shared" si="82"/>
        <v>1+4.98592058200401j</v>
      </c>
      <c r="AR159" s="159">
        <f t="shared" si="83"/>
        <v>-3.632643250758436E-6</v>
      </c>
      <c r="AS159" s="159" t="str">
        <f t="shared" si="84"/>
        <v>0.000136001839106658j</v>
      </c>
      <c r="AT159" s="159" t="str">
        <f t="shared" si="85"/>
        <v>-3.63264325075844E-06+0.000136001839106658j</v>
      </c>
      <c r="AU159" s="159" t="str">
        <f t="shared" si="86"/>
        <v>5.46574384512814-1.24891765144567j</v>
      </c>
      <c r="AW159" s="159" t="str">
        <f t="shared" si="100"/>
        <v>0.936565128809312-0.0101807782154865j</v>
      </c>
      <c r="AX159" s="159">
        <f t="shared" si="87"/>
        <v>-0.56872717699337505</v>
      </c>
      <c r="AY159" s="159">
        <f t="shared" si="88"/>
        <v>179.37720011997644</v>
      </c>
      <c r="AZ159" s="159" t="str">
        <f t="shared" si="89"/>
        <v>-26.3406651730841-7.33638008161436j</v>
      </c>
      <c r="BA159" s="159">
        <f t="shared" si="90"/>
        <v>28.737001467712069</v>
      </c>
      <c r="BB159" s="159">
        <f t="shared" si="91"/>
        <v>15.563538973139032</v>
      </c>
      <c r="BD159" s="159" t="str">
        <f t="shared" si="92"/>
        <v>-0.115944918496051-4.14073915022079j</v>
      </c>
      <c r="BE159" s="159">
        <f t="shared" si="93"/>
        <v>12.344961233980396</v>
      </c>
      <c r="BF159" s="159">
        <f t="shared" si="94"/>
        <v>88.3960788504113</v>
      </c>
      <c r="BH159" s="159">
        <f t="shared" si="101"/>
        <v>-11.344961233980396</v>
      </c>
      <c r="BI159" s="169">
        <f t="shared" si="102"/>
        <v>-88.3960788504113</v>
      </c>
      <c r="BN159" s="165"/>
      <c r="BO159" s="165"/>
      <c r="BP159" s="165"/>
    </row>
    <row r="160" spans="1:68" s="159" customFormat="1">
      <c r="A160" s="159">
        <v>96</v>
      </c>
      <c r="B160" s="159">
        <f t="shared" si="52"/>
        <v>8317.6377110267131</v>
      </c>
      <c r="C160" s="159" t="str">
        <f t="shared" si="53"/>
        <v>52261.2590563659j</v>
      </c>
      <c r="D160" s="159">
        <f t="shared" si="54"/>
        <v>0.99889307044652975</v>
      </c>
      <c r="E160" s="159" t="str">
        <f t="shared" si="55"/>
        <v>-0.0522612590563659j</v>
      </c>
      <c r="F160" s="159" t="str">
        <f t="shared" si="56"/>
        <v>0.99889307044653-0.0522612590563659j</v>
      </c>
      <c r="G160" s="159">
        <f t="shared" si="57"/>
        <v>2.2516907476427058E-3</v>
      </c>
      <c r="H160" s="159">
        <f t="shared" si="58"/>
        <v>-2.9949370986015498</v>
      </c>
      <c r="J160" s="159">
        <f t="shared" si="59"/>
        <v>6.3936063936063938</v>
      </c>
      <c r="K160" s="159" t="str">
        <f t="shared" si="60"/>
        <v>1+12.8058376128766j</v>
      </c>
      <c r="L160" s="159">
        <f t="shared" si="61"/>
        <v>-0.60459347912959083</v>
      </c>
      <c r="M160" s="159" t="str">
        <f t="shared" si="62"/>
        <v>0.139933045234295j</v>
      </c>
      <c r="N160" s="159" t="str">
        <f t="shared" si="63"/>
        <v>-0.604593479129591+0.139933045234295j</v>
      </c>
      <c r="O160" s="159" t="str">
        <f t="shared" si="64"/>
        <v>3.08315131130797-20.4673111572128j</v>
      </c>
      <c r="P160" s="159" t="str">
        <f t="shared" si="65"/>
        <v>19.7124559364346-130.859931474687j</v>
      </c>
      <c r="R160" s="159">
        <f t="shared" si="66"/>
        <v>31.968031968031973</v>
      </c>
      <c r="S160" s="159" t="str">
        <f t="shared" si="67"/>
        <v>1+0.00182914406697281j</v>
      </c>
      <c r="T160" s="159" t="str">
        <f t="shared" si="68"/>
        <v>-0.604593479129591+0.139933045234295j</v>
      </c>
      <c r="U160" s="159" t="str">
        <f t="shared" si="69"/>
        <v>-1.5692410204546-0.366225945877755j</v>
      </c>
      <c r="V160" s="159" t="str">
        <f t="shared" si="70"/>
        <v>-50.1655471074398-11.7075227453428j</v>
      </c>
      <c r="X160" s="159" t="str">
        <f t="shared" si="71"/>
        <v>0.503767472502368-5.1642059501783j</v>
      </c>
      <c r="Y160" s="159">
        <f t="shared" si="72"/>
        <v>14.301203018111794</v>
      </c>
      <c r="Z160" s="159">
        <f t="shared" si="73"/>
        <v>95.571565886992587</v>
      </c>
      <c r="AB160" s="159" t="str">
        <f t="shared" si="74"/>
        <v>-22.0944933307376-5.15636324392988j</v>
      </c>
      <c r="AC160" s="159">
        <f t="shared" si="75"/>
        <v>27.116003353796273</v>
      </c>
      <c r="AD160" s="159">
        <f t="shared" si="76"/>
        <v>13.13643602261152</v>
      </c>
      <c r="AF160" s="159" t="str">
        <f t="shared" si="77"/>
        <v>-0.228011793617332-4.21199634987407j</v>
      </c>
      <c r="AG160" s="159">
        <f t="shared" si="78"/>
        <v>12.502468021083502</v>
      </c>
      <c r="AH160" s="159">
        <f t="shared" si="79"/>
        <v>86.901380393154724</v>
      </c>
      <c r="AJ160" s="159" t="str">
        <f t="shared" si="80"/>
        <v>142785.848181572-45836.3681771j</v>
      </c>
      <c r="AK160" s="159" t="str">
        <f t="shared" si="81"/>
        <v>30000-0.0000470351331507294j</v>
      </c>
      <c r="AL160" s="159" t="str">
        <f t="shared" si="95"/>
        <v>10000-425214.06149543j</v>
      </c>
      <c r="AM160" s="159" t="str">
        <f t="shared" si="96"/>
        <v>962.88582688156-131978.601658263j</v>
      </c>
      <c r="AN160" s="159" t="str">
        <f t="shared" si="97"/>
        <v>10962.8858268816-131978.601658263j</v>
      </c>
      <c r="AO160" s="159" t="str">
        <f t="shared" si="98"/>
        <v>28069.4386023812-6220.08893478247j</v>
      </c>
      <c r="AP160" s="159" t="str">
        <f t="shared" si="99"/>
        <v>0.162210167186861+0.043030867308225j</v>
      </c>
      <c r="AQ160" s="159" t="str">
        <f t="shared" si="82"/>
        <v>1+5.22089977973095j</v>
      </c>
      <c r="AR160" s="159">
        <f t="shared" si="83"/>
        <v>-3.9927619384376508E-6</v>
      </c>
      <c r="AS160" s="159" t="str">
        <f t="shared" si="84"/>
        <v>0.000142411408316007j</v>
      </c>
      <c r="AT160" s="159" t="str">
        <f t="shared" si="85"/>
        <v>-3.99276193843765E-06+0.000142411408316007j</v>
      </c>
      <c r="AU160" s="159" t="str">
        <f t="shared" si="86"/>
        <v>5.46527590536829-1.20651531818819j</v>
      </c>
      <c r="AW160" s="159" t="str">
        <f t="shared" si="100"/>
        <v>0.938684325366963+0.00536061632554334j</v>
      </c>
      <c r="AX160" s="159">
        <f t="shared" si="87"/>
        <v>-0.54946704891007536</v>
      </c>
      <c r="AY160" s="159">
        <f t="shared" si="88"/>
        <v>-179.67280016946623</v>
      </c>
      <c r="AZ160" s="159" t="str">
        <f t="shared" si="89"/>
        <v>-20.7121132815025-4.95863745462869j</v>
      </c>
      <c r="BA160" s="159">
        <f t="shared" si="90"/>
        <v>26.56653630488622</v>
      </c>
      <c r="BB160" s="159">
        <f t="shared" si="91"/>
        <v>13.463635853145263</v>
      </c>
      <c r="BD160" s="159" t="str">
        <f t="shared" si="92"/>
        <v>-0.191452200271134-3.95495723587294j</v>
      </c>
      <c r="BE160" s="159">
        <f t="shared" si="93"/>
        <v>11.95300097217344</v>
      </c>
      <c r="BF160" s="159">
        <f t="shared" si="94"/>
        <v>87.228580223688468</v>
      </c>
      <c r="BH160" s="159">
        <f t="shared" si="101"/>
        <v>-10.95300097217344</v>
      </c>
      <c r="BI160" s="169">
        <f t="shared" si="102"/>
        <v>-87.228580223688468</v>
      </c>
      <c r="BN160" s="165"/>
      <c r="BO160" s="165"/>
      <c r="BP160" s="165"/>
    </row>
    <row r="161" spans="1:68" s="159" customFormat="1">
      <c r="A161" s="159">
        <v>97</v>
      </c>
      <c r="B161" s="159">
        <f t="shared" si="52"/>
        <v>8709.635899560808</v>
      </c>
      <c r="C161" s="159" t="str">
        <f t="shared" si="53"/>
        <v>54724.2563150043j</v>
      </c>
      <c r="D161" s="159">
        <f t="shared" si="54"/>
        <v>0.99878627587995328</v>
      </c>
      <c r="E161" s="159" t="str">
        <f t="shared" si="55"/>
        <v>-0.0547242563150043j</v>
      </c>
      <c r="F161" s="159" t="str">
        <f t="shared" si="56"/>
        <v>0.998786275879953-0.0547242563150043j</v>
      </c>
      <c r="G161" s="159">
        <f t="shared" si="57"/>
        <v>2.4694306814486938E-3</v>
      </c>
      <c r="H161" s="159">
        <f t="shared" si="58"/>
        <v>-3.1361433885687533</v>
      </c>
      <c r="J161" s="159">
        <f t="shared" si="59"/>
        <v>6.3936063936063938</v>
      </c>
      <c r="K161" s="159" t="str">
        <f t="shared" si="60"/>
        <v>1+13.4093581461471j</v>
      </c>
      <c r="L161" s="159">
        <f t="shared" si="61"/>
        <v>-0.75940176353912703</v>
      </c>
      <c r="M161" s="159" t="str">
        <f t="shared" si="62"/>
        <v>0.146527886480528j</v>
      </c>
      <c r="N161" s="159" t="str">
        <f t="shared" si="63"/>
        <v>-0.759401763539127+0.146527886480528j</v>
      </c>
      <c r="O161" s="159" t="str">
        <f t="shared" si="64"/>
        <v>2.01524709517552-17.2689462655947j</v>
      </c>
      <c r="P161" s="159" t="str">
        <f t="shared" si="65"/>
        <v>12.8846967124109-110.410845254552j</v>
      </c>
      <c r="R161" s="159">
        <f t="shared" si="66"/>
        <v>31.968031968031973</v>
      </c>
      <c r="S161" s="159" t="str">
        <f t="shared" si="67"/>
        <v>1+0.00191534897102515j</v>
      </c>
      <c r="T161" s="159" t="str">
        <f t="shared" si="68"/>
        <v>-0.759401763539127+0.146527886480528j</v>
      </c>
      <c r="U161" s="159" t="str">
        <f t="shared" si="69"/>
        <v>-1.26909064239006-0.247395420412368j</v>
      </c>
      <c r="V161" s="159" t="str">
        <f t="shared" si="70"/>
        <v>-40.5703302262557-7.90874470848729j</v>
      </c>
      <c r="X161" s="159" t="str">
        <f t="shared" si="71"/>
        <v>0.267603924074565-4.35031617399889j</v>
      </c>
      <c r="Y161" s="159">
        <f t="shared" si="72"/>
        <v>12.786818832738131</v>
      </c>
      <c r="Z161" s="159">
        <f t="shared" si="73"/>
        <v>93.52003842162199</v>
      </c>
      <c r="AB161" s="159" t="str">
        <f t="shared" si="74"/>
        <v>-17.8684563868116-3.48326126777683j</v>
      </c>
      <c r="AC161" s="159">
        <f t="shared" si="75"/>
        <v>25.203719547815361</v>
      </c>
      <c r="AD161" s="159">
        <f t="shared" si="76"/>
        <v>11.030848897718386</v>
      </c>
      <c r="AF161" s="159" t="str">
        <f t="shared" si="77"/>
        <v>-0.365128182934118-4.00100079469271j</v>
      </c>
      <c r="AG161" s="159">
        <f t="shared" si="78"/>
        <v>12.079392075066622</v>
      </c>
      <c r="AH161" s="159">
        <f t="shared" si="79"/>
        <v>84.785675644874246</v>
      </c>
      <c r="AJ161" s="159" t="str">
        <f t="shared" si="80"/>
        <v>141510.372671985-47567.826543511j</v>
      </c>
      <c r="AK161" s="159" t="str">
        <f t="shared" si="81"/>
        <v>30000-0.0000492518306835039j</v>
      </c>
      <c r="AL161" s="159" t="str">
        <f t="shared" si="95"/>
        <v>10000-406076.2762002j</v>
      </c>
      <c r="AM161" s="159" t="str">
        <f t="shared" si="96"/>
        <v>962.861396655759-126040.02457471j</v>
      </c>
      <c r="AN161" s="159" t="str">
        <f t="shared" si="97"/>
        <v>10962.8613966558-126040.02457471j</v>
      </c>
      <c r="AO161" s="159" t="str">
        <f t="shared" si="98"/>
        <v>27901.0200609183-6458.42290429052j</v>
      </c>
      <c r="AP161" s="159" t="str">
        <f t="shared" si="99"/>
        <v>0.162422785109253+0.0450474143760092j</v>
      </c>
      <c r="AQ161" s="159" t="str">
        <f t="shared" si="82"/>
        <v>1+5.46695320586893j</v>
      </c>
      <c r="AR161" s="159">
        <f t="shared" si="83"/>
        <v>-4.3876242275015901E-6</v>
      </c>
      <c r="AS161" s="159" t="str">
        <f t="shared" si="84"/>
        <v>0.000149123051215824j</v>
      </c>
      <c r="AT161" s="159" t="str">
        <f t="shared" si="85"/>
        <v>-4.38762422750159E-06+0.000149123051215824j</v>
      </c>
      <c r="AU161" s="159" t="str">
        <f t="shared" si="86"/>
        <v>5.46477600124372-1.1666699558684j</v>
      </c>
      <c r="AW161" s="159" t="str">
        <f t="shared" si="100"/>
        <v>0.941007670042374+0.0208794938228811j</v>
      </c>
      <c r="AX161" s="159">
        <f t="shared" si="87"/>
        <v>-0.52599911091248819</v>
      </c>
      <c r="AY161" s="159">
        <f t="shared" si="88"/>
        <v>-178.72890450761471</v>
      </c>
      <c r="AZ161" s="159" t="str">
        <f t="shared" si="89"/>
        <v>-16.7416257796833-3.65085989449237j</v>
      </c>
      <c r="BA161" s="159">
        <f t="shared" si="90"/>
        <v>24.677720436902856</v>
      </c>
      <c r="BB161" s="159">
        <f t="shared" si="91"/>
        <v>12.301944390103671</v>
      </c>
      <c r="BD161" s="159" t="str">
        <f t="shared" si="92"/>
        <v>-0.26004954931151-3.7725961272916j</v>
      </c>
      <c r="BE161" s="159">
        <f t="shared" si="93"/>
        <v>11.553392964154119</v>
      </c>
      <c r="BF161" s="159">
        <f t="shared" si="94"/>
        <v>86.056771137259545</v>
      </c>
      <c r="BH161" s="159">
        <f t="shared" si="101"/>
        <v>-10.553392964154119</v>
      </c>
      <c r="BI161" s="169">
        <f t="shared" si="102"/>
        <v>-86.056771137259545</v>
      </c>
      <c r="BN161" s="165"/>
      <c r="BO161" s="165"/>
      <c r="BP161" s="165"/>
    </row>
    <row r="162" spans="1:68" s="159" customFormat="1">
      <c r="A162" s="159">
        <v>98</v>
      </c>
      <c r="B162" s="159">
        <f t="shared" si="52"/>
        <v>9120.1083935590977</v>
      </c>
      <c r="C162" s="159" t="str">
        <f t="shared" si="53"/>
        <v>57303.3310582957j</v>
      </c>
      <c r="D162" s="159">
        <f t="shared" si="54"/>
        <v>0.99866917796623578</v>
      </c>
      <c r="E162" s="159" t="str">
        <f t="shared" si="55"/>
        <v>-0.0573033310582957j</v>
      </c>
      <c r="F162" s="159" t="str">
        <f t="shared" si="56"/>
        <v>0.998669177966236-0.0573033310582957j</v>
      </c>
      <c r="G162" s="159">
        <f t="shared" si="57"/>
        <v>2.7082790141098856E-3</v>
      </c>
      <c r="H162" s="159">
        <f t="shared" si="58"/>
        <v>-3.2840132830064821</v>
      </c>
      <c r="J162" s="159">
        <f t="shared" si="59"/>
        <v>6.3936063936063938</v>
      </c>
      <c r="K162" s="159" t="str">
        <f t="shared" si="60"/>
        <v>1+14.0413217258695j</v>
      </c>
      <c r="L162" s="159">
        <f t="shared" si="61"/>
        <v>-0.92914567197651965</v>
      </c>
      <c r="M162" s="159" t="str">
        <f t="shared" si="62"/>
        <v>0.153433533019322j</v>
      </c>
      <c r="N162" s="159" t="str">
        <f t="shared" si="63"/>
        <v>-0.92914567197652+0.153433533019322j</v>
      </c>
      <c r="O162" s="159" t="str">
        <f t="shared" si="64"/>
        <v>1.38158544662066-14.8839311280523j</v>
      </c>
      <c r="P162" s="159" t="str">
        <f t="shared" si="65"/>
        <v>8.8333135448274-95.1619972223124j</v>
      </c>
      <c r="R162" s="159">
        <f t="shared" si="66"/>
        <v>31.968031968031973</v>
      </c>
      <c r="S162" s="159" t="str">
        <f t="shared" si="67"/>
        <v>1+0.00200561658704035j</v>
      </c>
      <c r="T162" s="159" t="str">
        <f t="shared" si="68"/>
        <v>-0.92914567197652+0.153433533019322j</v>
      </c>
      <c r="U162" s="159" t="str">
        <f t="shared" si="69"/>
        <v>-1.04734086629463-0.175110137070363j</v>
      </c>
      <c r="V162" s="159" t="str">
        <f t="shared" si="70"/>
        <v>-33.481426295133-5.59792645979182j</v>
      </c>
      <c r="X162" s="159" t="str">
        <f t="shared" si="71"/>
        <v>0.132038234112464-3.74507656149435j</v>
      </c>
      <c r="Y162" s="159">
        <f t="shared" si="72"/>
        <v>11.474609023873976</v>
      </c>
      <c r="Z162" s="159">
        <f t="shared" si="73"/>
        <v>92.019211405277872</v>
      </c>
      <c r="AB162" s="159" t="str">
        <f t="shared" si="74"/>
        <v>-14.7462789232033-2.46550383606775j</v>
      </c>
      <c r="AC162" s="159">
        <f t="shared" si="75"/>
        <v>23.493386377223715</v>
      </c>
      <c r="AD162" s="159">
        <f t="shared" si="76"/>
        <v>9.4917717951101395</v>
      </c>
      <c r="AF162" s="159" t="str">
        <f t="shared" si="77"/>
        <v>-0.487345514815166-3.79019892761429j</v>
      </c>
      <c r="AG162" s="159">
        <f t="shared" si="78"/>
        <v>11.644454625311248</v>
      </c>
      <c r="AH162" s="159">
        <f t="shared" si="79"/>
        <v>82.673084393503515</v>
      </c>
      <c r="AJ162" s="159" t="str">
        <f t="shared" si="80"/>
        <v>140137.778385591-49326.4955665975j</v>
      </c>
      <c r="AK162" s="159" t="str">
        <f t="shared" si="81"/>
        <v>30000-0.0000515729979524661j</v>
      </c>
      <c r="AL162" s="159" t="str">
        <f t="shared" si="95"/>
        <v>10000-387799.833130383j</v>
      </c>
      <c r="AM162" s="159" t="str">
        <f t="shared" si="96"/>
        <v>962.834610870668-120368.795201641j</v>
      </c>
      <c r="AN162" s="159" t="str">
        <f t="shared" si="97"/>
        <v>10962.8346108707-120368.795201641j</v>
      </c>
      <c r="AO162" s="159" t="str">
        <f t="shared" si="98"/>
        <v>27719.5854447683-6700.97063147322j</v>
      </c>
      <c r="AP162" s="159" t="str">
        <f t="shared" si="99"/>
        <v>0.162655792021696+0.0471573111920611j</v>
      </c>
      <c r="AQ162" s="159" t="str">
        <f t="shared" si="82"/>
        <v>1+5.72460277272374j</v>
      </c>
      <c r="AR162" s="159">
        <f t="shared" si="83"/>
        <v>-4.8205821179393954E-6</v>
      </c>
      <c r="AS162" s="159" t="str">
        <f t="shared" si="84"/>
        <v>0.000156151004100545j</v>
      </c>
      <c r="AT162" s="159" t="str">
        <f t="shared" si="85"/>
        <v>-0.0000048205821179394+0.000156151004100545j</v>
      </c>
      <c r="AU162" s="159" t="str">
        <f t="shared" si="86"/>
        <v>5.46423990825873-1.12929672278212j</v>
      </c>
      <c r="AW162" s="159" t="str">
        <f t="shared" si="100"/>
        <v>0.943554190312689+0.0364037975968873j</v>
      </c>
      <c r="AX162" s="159">
        <f t="shared" si="87"/>
        <v>-0.49820321846460247</v>
      </c>
      <c r="AY162" s="159">
        <f t="shared" si="88"/>
        <v>-177.79053499739655</v>
      </c>
      <c r="AZ162" s="159" t="str">
        <f t="shared" si="89"/>
        <v>-13.8241595668856-2.86315702898127j</v>
      </c>
      <c r="BA162" s="159">
        <f t="shared" si="90"/>
        <v>22.995183158759112</v>
      </c>
      <c r="BB162" s="159">
        <f t="shared" si="91"/>
        <v>11.701236797713591</v>
      </c>
      <c r="BD162" s="159" t="str">
        <f t="shared" si="92"/>
        <v>-0.321859268021135-3.59399930775021j</v>
      </c>
      <c r="BE162" s="159">
        <f t="shared" si="93"/>
        <v>11.146251406846657</v>
      </c>
      <c r="BF162" s="159">
        <f t="shared" si="94"/>
        <v>84.882549396106981</v>
      </c>
      <c r="BH162" s="159">
        <f t="shared" si="101"/>
        <v>-10.146251406846657</v>
      </c>
      <c r="BI162" s="169">
        <f t="shared" si="102"/>
        <v>-84.882549396106981</v>
      </c>
      <c r="BN162" s="165"/>
      <c r="BO162" s="165"/>
      <c r="BP162" s="165"/>
    </row>
    <row r="163" spans="1:68" s="159" customFormat="1">
      <c r="A163" s="159">
        <v>99</v>
      </c>
      <c r="B163" s="159">
        <f t="shared" si="52"/>
        <v>9549.9258602143655</v>
      </c>
      <c r="C163" s="159" t="str">
        <f t="shared" si="53"/>
        <v>60003.9538495533j</v>
      </c>
      <c r="D163" s="159">
        <f t="shared" si="54"/>
        <v>0.9985407826570305</v>
      </c>
      <c r="E163" s="159" t="str">
        <f t="shared" si="55"/>
        <v>-0.0600039538495533j</v>
      </c>
      <c r="F163" s="159" t="str">
        <f t="shared" si="56"/>
        <v>0.998540782657031-0.0600039538495533j</v>
      </c>
      <c r="G163" s="159">
        <f t="shared" si="57"/>
        <v>2.9702927027021597E-3</v>
      </c>
      <c r="H163" s="159">
        <f t="shared" si="58"/>
        <v>-3.4388621197404428</v>
      </c>
      <c r="J163" s="159">
        <f t="shared" si="59"/>
        <v>6.3936063936063938</v>
      </c>
      <c r="K163" s="159" t="str">
        <f t="shared" si="60"/>
        <v>1+14.7030688315253j</v>
      </c>
      <c r="L163" s="159">
        <f t="shared" si="61"/>
        <v>-1.1152661665062511</v>
      </c>
      <c r="M163" s="159" t="str">
        <f t="shared" si="62"/>
        <v>0.160664632652843j</v>
      </c>
      <c r="N163" s="159" t="str">
        <f t="shared" si="63"/>
        <v>-1.11526616650625+0.160664632652843j</v>
      </c>
      <c r="O163" s="159" t="str">
        <f t="shared" si="64"/>
        <v>0.982172184789756-13.0419705493439j</v>
      </c>
      <c r="P163" s="159" t="str">
        <f t="shared" si="65"/>
        <v>6.27962236029414-83.3852262895115j</v>
      </c>
      <c r="R163" s="159">
        <f t="shared" si="66"/>
        <v>31.968031968031973</v>
      </c>
      <c r="S163" s="159" t="str">
        <f t="shared" si="67"/>
        <v>1+0.00210013838473437j</v>
      </c>
      <c r="T163" s="159" t="str">
        <f t="shared" si="68"/>
        <v>-1.11526616650625+0.160664632652843j</v>
      </c>
      <c r="U163" s="159" t="str">
        <f t="shared" si="69"/>
        <v>-0.87815128422792-0.12838907534279j</v>
      </c>
      <c r="V163" s="159" t="str">
        <f t="shared" si="70"/>
        <v>-28.0727683269665-4.10434606490438j</v>
      </c>
      <c r="X163" s="159" t="str">
        <f t="shared" si="71"/>
        <v>0.0496650087302878-3.27856915434492j</v>
      </c>
      <c r="Y163" s="159">
        <f t="shared" si="72"/>
        <v>10.314683448041102</v>
      </c>
      <c r="Z163" s="159">
        <f t="shared" si="73"/>
        <v>90.867871813260408</v>
      </c>
      <c r="AB163" s="159" t="str">
        <f t="shared" si="74"/>
        <v>-12.364134916083-1.80768379868063j</v>
      </c>
      <c r="AC163" s="159">
        <f t="shared" si="75"/>
        <v>21.935129315526005</v>
      </c>
      <c r="AD163" s="159">
        <f t="shared" si="76"/>
        <v>8.3179293386684492</v>
      </c>
      <c r="AF163" s="159" t="str">
        <f t="shared" si="77"/>
        <v>-0.595029542691814-3.58069409955888j</v>
      </c>
      <c r="AG163" s="159">
        <f t="shared" si="78"/>
        <v>11.197648108682754</v>
      </c>
      <c r="AH163" s="159">
        <f t="shared" si="79"/>
        <v>80.564969127504341</v>
      </c>
      <c r="AJ163" s="159" t="str">
        <f t="shared" si="80"/>
        <v>138663.041193444-51107.6314746893j</v>
      </c>
      <c r="AK163" s="159" t="str">
        <f t="shared" si="81"/>
        <v>30000-0.000054003558464598j</v>
      </c>
      <c r="AL163" s="159" t="str">
        <f t="shared" si="95"/>
        <v>10000-370345.965499866j</v>
      </c>
      <c r="AM163" s="159" t="str">
        <f t="shared" si="96"/>
        <v>962.805242554199-114952.88408934j</v>
      </c>
      <c r="AN163" s="159" t="str">
        <f t="shared" si="97"/>
        <v>10962.8052425542-114952.88408934j</v>
      </c>
      <c r="AO163" s="159" t="str">
        <f t="shared" si="98"/>
        <v>27524.426841066-6947.1383078908j</v>
      </c>
      <c r="AP163" s="159" t="str">
        <f t="shared" si="99"/>
        <v>0.162911130060397+0.0493647090324719j</v>
      </c>
      <c r="AQ163" s="159" t="str">
        <f t="shared" si="82"/>
        <v>1+5.99439498957037j</v>
      </c>
      <c r="AR163" s="159">
        <f t="shared" si="83"/>
        <v>-5.2953110046526114E-6</v>
      </c>
      <c r="AS163" s="159" t="str">
        <f t="shared" si="84"/>
        <v>0.000163510174200494j</v>
      </c>
      <c r="AT163" s="159" t="str">
        <f t="shared" si="85"/>
        <v>-5.29531100465261E-06+0.000163510174200494j</v>
      </c>
      <c r="AU163" s="159" t="str">
        <f t="shared" si="86"/>
        <v>5.46366309858586-1.09431597273117j</v>
      </c>
      <c r="AW163" s="159" t="str">
        <f t="shared" si="100"/>
        <v>0.946344668722578+0.0519607575745915j</v>
      </c>
      <c r="AX163" s="159">
        <f t="shared" si="87"/>
        <v>-0.46593997741858512</v>
      </c>
      <c r="AY163" s="159">
        <f t="shared" si="88"/>
        <v>-176.8572277824768</v>
      </c>
      <c r="AZ163" s="159" t="str">
        <f t="shared" si="89"/>
        <v>-11.6068045415671-2.35314174261173j</v>
      </c>
      <c r="BA163" s="159">
        <f t="shared" si="90"/>
        <v>21.469189338107441</v>
      </c>
      <c r="BB163" s="159">
        <f t="shared" si="91"/>
        <v>11.460701556191623</v>
      </c>
      <c r="BD163" s="159" t="str">
        <f t="shared" si="92"/>
        <v>-0.377047457402883-3.41948895726148j</v>
      </c>
      <c r="BE163" s="159">
        <f t="shared" si="93"/>
        <v>10.731708131264199</v>
      </c>
      <c r="BF163" s="159">
        <f t="shared" si="94"/>
        <v>83.707741345027543</v>
      </c>
      <c r="BH163" s="159">
        <f t="shared" si="101"/>
        <v>-9.7317081312641989</v>
      </c>
      <c r="BI163" s="169">
        <f t="shared" si="102"/>
        <v>-83.707741345027543</v>
      </c>
      <c r="BN163" s="165"/>
      <c r="BO163" s="165"/>
      <c r="BP163" s="165"/>
    </row>
    <row r="164" spans="1:68" s="159" customFormat="1">
      <c r="A164" s="159">
        <v>100</v>
      </c>
      <c r="B164" s="159">
        <f t="shared" si="52"/>
        <v>10000</v>
      </c>
      <c r="C164" s="159" t="str">
        <f t="shared" si="53"/>
        <v>62831.8530717959j</v>
      </c>
      <c r="D164" s="159">
        <f t="shared" si="54"/>
        <v>0.99839999999999995</v>
      </c>
      <c r="E164" s="159" t="str">
        <f t="shared" si="55"/>
        <v>-0.0628318530717959j</v>
      </c>
      <c r="F164" s="159" t="str">
        <f t="shared" si="56"/>
        <v>0.9984-0.0628318530717959j</v>
      </c>
      <c r="G164" s="159">
        <f t="shared" si="57"/>
        <v>3.2577312868424012E-3</v>
      </c>
      <c r="H164" s="159">
        <f t="shared" si="58"/>
        <v>-3.601020287957196</v>
      </c>
      <c r="J164" s="159">
        <f t="shared" si="59"/>
        <v>6.3936063936063938</v>
      </c>
      <c r="K164" s="159" t="str">
        <f t="shared" si="60"/>
        <v>1+15.3960031174475j</v>
      </c>
      <c r="L164" s="159">
        <f t="shared" si="61"/>
        <v>-1.3193432306134847</v>
      </c>
      <c r="M164" s="159" t="str">
        <f t="shared" si="62"/>
        <v>0.168236523512903j</v>
      </c>
      <c r="N164" s="159" t="str">
        <f t="shared" si="63"/>
        <v>-1.31934323061348+0.168236523512903j</v>
      </c>
      <c r="O164" s="159" t="str">
        <f t="shared" si="64"/>
        <v>0.718399264336802-11.5778379486727j</v>
      </c>
      <c r="P164" s="159" t="str">
        <f t="shared" si="65"/>
        <v>4.59316212962591-74.0241387327725j</v>
      </c>
      <c r="R164" s="159">
        <f t="shared" si="66"/>
        <v>31.968031968031973</v>
      </c>
      <c r="S164" s="159" t="str">
        <f t="shared" si="67"/>
        <v>1+0.00219911485751286j</v>
      </c>
      <c r="T164" s="159" t="str">
        <f t="shared" si="68"/>
        <v>-1.31934323061348+0.168236523512903j</v>
      </c>
      <c r="U164" s="159" t="str">
        <f t="shared" si="69"/>
        <v>-0.745616485047144-0.0967443779708514j</v>
      </c>
      <c r="V164" s="159" t="str">
        <f t="shared" si="70"/>
        <v>-23.8358916298787-3.09272736769955j</v>
      </c>
      <c r="X164" s="159" t="str">
        <f t="shared" si="71"/>
        <v>-0.00255811747107274-2.90829880330274j</v>
      </c>
      <c r="Y164" s="159">
        <f t="shared" si="72"/>
        <v>9.272783851936456</v>
      </c>
      <c r="Z164" s="159">
        <f t="shared" si="73"/>
        <v>89.949603081834198</v>
      </c>
      <c r="AB164" s="159" t="str">
        <f t="shared" si="74"/>
        <v>-10.4980804359739-1.36213493402314j</v>
      </c>
      <c r="AC164" s="159">
        <f t="shared" si="75"/>
        <v>20.49470400126657</v>
      </c>
      <c r="AD164" s="159">
        <f t="shared" si="76"/>
        <v>7.3928740780436044</v>
      </c>
      <c r="AF164" s="159" t="str">
        <f t="shared" si="77"/>
        <v>-0.688634951434886-3.37352100220844j</v>
      </c>
      <c r="AG164" s="159">
        <f t="shared" si="78"/>
        <v>10.738965045945953</v>
      </c>
      <c r="AH164" s="159">
        <f t="shared" si="79"/>
        <v>78.462749760003462</v>
      </c>
      <c r="AJ164" s="159" t="str">
        <f t="shared" si="80"/>
        <v>137081.292100375-52905.7923284465j</v>
      </c>
      <c r="AK164" s="159" t="str">
        <f t="shared" si="81"/>
        <v>30000-0.0000565486677646164j</v>
      </c>
      <c r="AL164" s="159" t="str">
        <f t="shared" si="95"/>
        <v>10000-353677.651315322j</v>
      </c>
      <c r="AM164" s="159" t="str">
        <f t="shared" si="96"/>
        <v>962.773042894666-109780.803350595j</v>
      </c>
      <c r="AN164" s="159" t="str">
        <f t="shared" si="97"/>
        <v>10962.7730428947-109780.803350595j</v>
      </c>
      <c r="AO164" s="159" t="str">
        <f t="shared" si="98"/>
        <v>27314.8503930139-7196.23839279862j</v>
      </c>
      <c r="AP164" s="159" t="str">
        <f t="shared" si="99"/>
        <v>0.163190923726998+0.0516739185143522j</v>
      </c>
      <c r="AQ164" s="159" t="str">
        <f t="shared" si="82"/>
        <v>1+6.27690212187241j</v>
      </c>
      <c r="AR164" s="159">
        <f t="shared" si="83"/>
        <v>-5.815840878012972E-6</v>
      </c>
      <c r="AS164" s="159" t="str">
        <f t="shared" si="84"/>
        <v>0.000171216171302113j</v>
      </c>
      <c r="AT164" s="159" t="str">
        <f t="shared" si="85"/>
        <v>-5.81584087801297E-06+0.000171216171302113j</v>
      </c>
      <c r="AU164" s="159" t="str">
        <f t="shared" si="86"/>
        <v>5.46304070341092-1.06165307902141j</v>
      </c>
      <c r="AW164" s="159" t="str">
        <f t="shared" si="100"/>
        <v>0.949401791473632+0.0675768437246681j</v>
      </c>
      <c r="AX164" s="159">
        <f t="shared" si="87"/>
        <v>-0.42905170718001567</v>
      </c>
      <c r="AY164" s="159">
        <f t="shared" si="88"/>
        <v>-175.92864788758536</v>
      </c>
      <c r="AZ164" s="159" t="str">
        <f t="shared" si="89"/>
        <v>-9.8748475933795-2.00264048762119j</v>
      </c>
      <c r="BA164" s="159">
        <f t="shared" si="90"/>
        <v>20.06565229408654</v>
      </c>
      <c r="BB164" s="159">
        <f t="shared" si="91"/>
        <v>11.464226190458277</v>
      </c>
      <c r="BD164" s="159" t="str">
        <f t="shared" si="92"/>
        <v>-0.425819354995511-3.24936265956707j</v>
      </c>
      <c r="BE164" s="159">
        <f t="shared" si="93"/>
        <v>10.309913338765924</v>
      </c>
      <c r="BF164" s="159">
        <f t="shared" si="94"/>
        <v>82.534101872418134</v>
      </c>
      <c r="BH164" s="159">
        <f t="shared" si="101"/>
        <v>-9.3099133387659236</v>
      </c>
      <c r="BI164" s="169">
        <f t="shared" si="102"/>
        <v>-82.534101872418134</v>
      </c>
      <c r="BN164" s="165"/>
      <c r="BO164" s="165"/>
      <c r="BP164" s="165"/>
    </row>
    <row r="165" spans="1:68" s="159" customFormat="1">
      <c r="A165" s="159">
        <v>101</v>
      </c>
      <c r="B165" s="159">
        <f t="shared" si="52"/>
        <v>10471.285480508997</v>
      </c>
      <c r="C165" s="159" t="str">
        <f t="shared" si="53"/>
        <v>65793.0270784171j</v>
      </c>
      <c r="D165" s="159">
        <f t="shared" si="54"/>
        <v>0.99824563488617091</v>
      </c>
      <c r="E165" s="159" t="str">
        <f t="shared" si="55"/>
        <v>-0.0657930270784171j</v>
      </c>
      <c r="F165" s="159" t="str">
        <f t="shared" si="56"/>
        <v>0.998245634886171-0.0657930270784171j</v>
      </c>
      <c r="G165" s="159">
        <f t="shared" si="57"/>
        <v>3.5730772668890048E-3</v>
      </c>
      <c r="H165" s="159">
        <f t="shared" si="58"/>
        <v>-3.7708339653212288</v>
      </c>
      <c r="J165" s="159">
        <f t="shared" si="59"/>
        <v>6.3936063936063938</v>
      </c>
      <c r="K165" s="159" t="str">
        <f t="shared" si="60"/>
        <v>1+16.1215943901599j</v>
      </c>
      <c r="L165" s="159">
        <f t="shared" si="61"/>
        <v>-1.5431092817399823</v>
      </c>
      <c r="M165" s="159" t="str">
        <f t="shared" si="62"/>
        <v>0.176165266595197j</v>
      </c>
      <c r="N165" s="159" t="str">
        <f t="shared" si="63"/>
        <v>-1.54310928173998+0.176165266595197j</v>
      </c>
      <c r="O165" s="159" t="str">
        <f t="shared" si="64"/>
        <v>0.537660514577888-10.3860935009087j</v>
      </c>
      <c r="P165" s="159" t="str">
        <f t="shared" si="65"/>
        <v>3.43758970359489-66.4045938120037j</v>
      </c>
      <c r="R165" s="159">
        <f t="shared" si="66"/>
        <v>31.968031968031973</v>
      </c>
      <c r="S165" s="159" t="str">
        <f t="shared" si="67"/>
        <v>1+0.0023027559477446j</v>
      </c>
      <c r="T165" s="159" t="str">
        <f t="shared" si="68"/>
        <v>-1.54310928173998+0.176165266595197j</v>
      </c>
      <c r="U165" s="159" t="str">
        <f t="shared" si="69"/>
        <v>-0.63953674380703-0.0745034187003916j</v>
      </c>
      <c r="V165" s="159" t="str">
        <f t="shared" si="70"/>
        <v>-20.4447310707542-2.38172767074179j</v>
      </c>
      <c r="X165" s="159" t="str">
        <f t="shared" si="71"/>
        <v>-0.0367446063496353-2.60725373944465j</v>
      </c>
      <c r="Y165" s="159">
        <f t="shared" si="72"/>
        <v>8.3245284856408457</v>
      </c>
      <c r="Z165" s="159">
        <f t="shared" si="73"/>
        <v>89.192571300747701</v>
      </c>
      <c r="AB165" s="159" t="str">
        <f t="shared" si="74"/>
        <v>-9.00450608709721-1.04898818354626j</v>
      </c>
      <c r="AC165" s="159">
        <f t="shared" si="75"/>
        <v>19.14774096003698</v>
      </c>
      <c r="AD165" s="159">
        <f t="shared" si="76"/>
        <v>6.6447729296777993</v>
      </c>
      <c r="AF165" s="159" t="str">
        <f t="shared" si="77"/>
        <v>-0.768695675765496-3.16964003400016j</v>
      </c>
      <c r="AG165" s="159">
        <f t="shared" si="78"/>
        <v>10.268400216589894</v>
      </c>
      <c r="AH165" s="159">
        <f t="shared" si="79"/>
        <v>76.367915912347215</v>
      </c>
      <c r="AJ165" s="159" t="str">
        <f t="shared" si="80"/>
        <v>135387.903097828-54714.8099940142j</v>
      </c>
      <c r="AK165" s="159" t="str">
        <f t="shared" si="81"/>
        <v>30000-0.0000592137243705753j</v>
      </c>
      <c r="AL165" s="159" t="str">
        <f t="shared" si="95"/>
        <v>10000-337759.534847608j</v>
      </c>
      <c r="AM165" s="159" t="str">
        <f t="shared" si="96"/>
        <v>962.737739145414-104841.582293095j</v>
      </c>
      <c r="AN165" s="159" t="str">
        <f t="shared" si="97"/>
        <v>10962.7377391454-104841.582293095j</v>
      </c>
      <c r="AO165" s="159" t="str">
        <f t="shared" si="98"/>
        <v>27090.1872330637-7447.4849715852j</v>
      </c>
      <c r="AP165" s="159" t="str">
        <f t="shared" si="99"/>
        <v>0.163497496482337+0.054089411845945j</v>
      </c>
      <c r="AQ165" s="159" t="str">
        <f t="shared" si="82"/>
        <v>1+6.57272340513387j</v>
      </c>
      <c r="AR165" s="159">
        <f t="shared" si="83"/>
        <v>-6.3865905345937825E-6</v>
      </c>
      <c r="AS165" s="159" t="str">
        <f t="shared" si="84"/>
        <v>0.000179285340858416j</v>
      </c>
      <c r="AT165" s="159" t="str">
        <f t="shared" si="85"/>
        <v>-6.38659053459378E-06+0.000179285340858416j</v>
      </c>
      <c r="AU165" s="159" t="str">
        <f t="shared" si="86"/>
        <v>5.46236747254042-1.0312382680668j</v>
      </c>
      <c r="AW165" s="159" t="str">
        <f t="shared" si="100"/>
        <v>0.952750307662907+0.0832777032120959j</v>
      </c>
      <c r="AX165" s="159">
        <f t="shared" si="87"/>
        <v>-0.38736360477511161</v>
      </c>
      <c r="AY165" s="159">
        <f t="shared" si="88"/>
        <v>-175.00460425142481</v>
      </c>
      <c r="AZ165" s="159" t="str">
        <f t="shared" si="89"/>
        <v>-8.49168861821202-1.74929840010125j</v>
      </c>
      <c r="BA165" s="159">
        <f t="shared" si="90"/>
        <v>18.760377355261866</v>
      </c>
      <c r="BB165" s="159">
        <f t="shared" si="91"/>
        <v>11.640168678253019</v>
      </c>
      <c r="BD165" s="159" t="str">
        <f t="shared" si="92"/>
        <v>-0.468414699544077-3.08389072792114j</v>
      </c>
      <c r="BE165" s="159">
        <f t="shared" si="93"/>
        <v>9.8810366118147819</v>
      </c>
      <c r="BF165" s="159">
        <f t="shared" si="94"/>
        <v>81.363311660922477</v>
      </c>
      <c r="BH165" s="159">
        <f t="shared" si="101"/>
        <v>-8.8810366118147819</v>
      </c>
      <c r="BI165" s="169">
        <f t="shared" si="102"/>
        <v>-81.363311660922477</v>
      </c>
      <c r="BN165" s="165"/>
      <c r="BO165" s="165"/>
      <c r="BP165" s="165"/>
    </row>
    <row r="166" spans="1:68" s="159" customFormat="1">
      <c r="A166" s="159">
        <v>102</v>
      </c>
      <c r="B166" s="159">
        <f t="shared" si="52"/>
        <v>10964.781961431861</v>
      </c>
      <c r="C166" s="159" t="str">
        <f t="shared" si="53"/>
        <v>68893.7569164964j</v>
      </c>
      <c r="D166" s="159">
        <f t="shared" si="54"/>
        <v>0.99807637690461215</v>
      </c>
      <c r="E166" s="159" t="str">
        <f t="shared" si="55"/>
        <v>-0.0688937569164964j</v>
      </c>
      <c r="F166" s="159" t="str">
        <f t="shared" si="56"/>
        <v>0.998076376904612-0.0688937569164964j</v>
      </c>
      <c r="G166" s="159">
        <f t="shared" si="57"/>
        <v>3.919058616091823E-3</v>
      </c>
      <c r="H166" s="159">
        <f t="shared" si="58"/>
        <v>-3.9486658938485877</v>
      </c>
      <c r="J166" s="159">
        <f t="shared" si="59"/>
        <v>6.3936063936063938</v>
      </c>
      <c r="K166" s="159" t="str">
        <f t="shared" si="60"/>
        <v>1+16.8813817260337j</v>
      </c>
      <c r="L166" s="159">
        <f t="shared" si="61"/>
        <v>-1.7884638778372395</v>
      </c>
      <c r="M166" s="159" t="str">
        <f t="shared" si="62"/>
        <v>0.184467679826828j</v>
      </c>
      <c r="N166" s="159" t="str">
        <f t="shared" si="63"/>
        <v>-1.78846387783724+0.184467679826828j</v>
      </c>
      <c r="O166" s="159" t="str">
        <f t="shared" si="64"/>
        <v>0.41007009177523-9.3967439073807j</v>
      </c>
      <c r="P166" s="159" t="str">
        <f t="shared" si="65"/>
        <v>2.62182676060087-60.0790819253112j</v>
      </c>
      <c r="R166" s="159">
        <f t="shared" si="66"/>
        <v>31.968031968031973</v>
      </c>
      <c r="S166" s="159" t="str">
        <f t="shared" si="67"/>
        <v>1+0.00241128149207737j</v>
      </c>
      <c r="T166" s="159" t="str">
        <f t="shared" si="68"/>
        <v>-1.78846387783724+0.184467679826828j</v>
      </c>
      <c r="U166" s="159" t="str">
        <f t="shared" si="69"/>
        <v>-0.553115673027543-0.0583982979279538j</v>
      </c>
      <c r="V166" s="159" t="str">
        <f t="shared" si="70"/>
        <v>-17.682019517364-1.86687865503948j</v>
      </c>
      <c r="X166" s="159" t="str">
        <f t="shared" si="71"/>
        <v>-0.0596713665507406-2.35755492275049j</v>
      </c>
      <c r="Y166" s="159">
        <f t="shared" si="72"/>
        <v>7.4520177179715859</v>
      </c>
      <c r="Z166" s="159">
        <f t="shared" si="73"/>
        <v>88.550113246633643</v>
      </c>
      <c r="AB166" s="159" t="str">
        <f t="shared" si="74"/>
        <v>-7.78772055378287-0.822232395965417j</v>
      </c>
      <c r="AC166" s="159">
        <f t="shared" si="75"/>
        <v>17.876351315983769</v>
      </c>
      <c r="AD166" s="159">
        <f t="shared" si="76"/>
        <v>6.0269954962761574</v>
      </c>
      <c r="AF166" s="159" t="str">
        <f t="shared" si="77"/>
        <v>-0.835815263884954-2.9699327304363j</v>
      </c>
      <c r="AG166" s="159">
        <f t="shared" si="78"/>
        <v>9.7859532248703083</v>
      </c>
      <c r="AH166" s="159">
        <f t="shared" si="79"/>
        <v>74.282036053728476</v>
      </c>
      <c r="AJ166" s="159" t="str">
        <f t="shared" si="80"/>
        <v>133578.583121406-56527.7716958582j</v>
      </c>
      <c r="AK166" s="159" t="str">
        <f t="shared" si="81"/>
        <v>30000-0.0000620043812248467j</v>
      </c>
      <c r="AL166" s="159" t="str">
        <f t="shared" si="95"/>
        <v>10000-322557.851637514j</v>
      </c>
      <c r="AM166" s="159" t="str">
        <f t="shared" si="96"/>
        <v>962.699032329839-100124.744148817j</v>
      </c>
      <c r="AN166" s="159" t="str">
        <f t="shared" si="97"/>
        <v>10962.6990323298-100124.744148817j</v>
      </c>
      <c r="AO166" s="159" t="str">
        <f t="shared" si="98"/>
        <v>26849.8058526499-7699.99022253226j</v>
      </c>
      <c r="AP166" s="159" t="str">
        <f t="shared" si="99"/>
        <v>0.16383338874272+0.0566158244339832j</v>
      </c>
      <c r="AQ166" s="159" t="str">
        <f t="shared" si="82"/>
        <v>1+6.88248631595799j</v>
      </c>
      <c r="AR166" s="159">
        <f t="shared" si="83"/>
        <v>-7.0124050884908325E-6</v>
      </c>
      <c r="AS166" s="159" t="str">
        <f t="shared" si="84"/>
        <v>0.000187734798659884j</v>
      </c>
      <c r="AT166" s="159" t="str">
        <f t="shared" si="85"/>
        <v>-7.01240508849083E-06+0.000187734798659884j</v>
      </c>
      <c r="AU166" s="159" t="str">
        <f t="shared" si="86"/>
        <v>5.46163773096058-1.00300646209561j</v>
      </c>
      <c r="AW166" s="159" t="str">
        <f t="shared" si="100"/>
        <v>0.956417199445179+0.0990880791655093j</v>
      </c>
      <c r="AX166" s="159">
        <f t="shared" si="87"/>
        <v>-0.34068513467665207</v>
      </c>
      <c r="AY166" s="159">
        <f t="shared" si="88"/>
        <v>-174.08506485024108</v>
      </c>
      <c r="AZ166" s="159" t="str">
        <f t="shared" si="89"/>
        <v>-7.3668364533668-1.55806747619444j</v>
      </c>
      <c r="BA166" s="159">
        <f t="shared" si="90"/>
        <v>17.535666181307107</v>
      </c>
      <c r="BB166" s="159">
        <f t="shared" si="91"/>
        <v>11.941930646035047</v>
      </c>
      <c r="BD166" s="159" t="str">
        <f t="shared" si="92"/>
        <v>-0.505103164428673-2.92331407362003j</v>
      </c>
      <c r="BE166" s="159">
        <f t="shared" si="93"/>
        <v>9.4452680901936468</v>
      </c>
      <c r="BF166" s="159">
        <f t="shared" si="94"/>
        <v>80.196971203487351</v>
      </c>
      <c r="BH166" s="159">
        <f t="shared" si="101"/>
        <v>-8.4452680901936468</v>
      </c>
      <c r="BI166" s="169">
        <f t="shared" si="102"/>
        <v>-80.196971203487351</v>
      </c>
      <c r="BN166" s="165"/>
      <c r="BO166" s="165"/>
      <c r="BP166" s="165"/>
    </row>
    <row r="167" spans="1:68" s="159" customFormat="1">
      <c r="A167" s="159">
        <v>103</v>
      </c>
      <c r="B167" s="159">
        <f t="shared" si="52"/>
        <v>11481.536214968835</v>
      </c>
      <c r="C167" s="159" t="str">
        <f t="shared" si="53"/>
        <v>72140.6196497425j</v>
      </c>
      <c r="D167" s="159">
        <f t="shared" si="54"/>
        <v>0.99789078921830976</v>
      </c>
      <c r="E167" s="159" t="str">
        <f t="shared" si="55"/>
        <v>-0.0721406196497425j</v>
      </c>
      <c r="F167" s="159" t="str">
        <f t="shared" si="56"/>
        <v>0.99789078921831-0.0721406196497425j</v>
      </c>
      <c r="G167" s="159">
        <f t="shared" si="57"/>
        <v>4.2986736663635922E-3</v>
      </c>
      <c r="H167" s="159">
        <f t="shared" si="58"/>
        <v>-4.1348961969339113</v>
      </c>
      <c r="J167" s="159">
        <f t="shared" si="59"/>
        <v>6.3936063936063938</v>
      </c>
      <c r="K167" s="159" t="str">
        <f t="shared" si="60"/>
        <v>1+17.6769767358747j</v>
      </c>
      <c r="L167" s="159">
        <f t="shared" si="61"/>
        <v>-2.057489842781409</v>
      </c>
      <c r="M167" s="159" t="str">
        <f t="shared" si="62"/>
        <v>0.193161373739385j</v>
      </c>
      <c r="N167" s="159" t="str">
        <f t="shared" si="63"/>
        <v>-2.05748984278141+0.193161373739385j</v>
      </c>
      <c r="O167" s="159" t="str">
        <f t="shared" si="64"/>
        <v>0.317760260053397-8.56169365274213j</v>
      </c>
      <c r="P167" s="159" t="str">
        <f t="shared" si="65"/>
        <v>2.03163403031143-54.7400992782714j</v>
      </c>
      <c r="R167" s="159">
        <f t="shared" si="66"/>
        <v>31.968031968031973</v>
      </c>
      <c r="S167" s="159" t="str">
        <f t="shared" si="67"/>
        <v>1+0.00252492168774099j</v>
      </c>
      <c r="T167" s="159" t="str">
        <f t="shared" si="68"/>
        <v>-2.05748984278141+0.193161373739385j</v>
      </c>
      <c r="U167" s="159" t="str">
        <f t="shared" si="69"/>
        <v>-0.481668570348964-0.046447220509358j</v>
      </c>
      <c r="V167" s="159" t="str">
        <f t="shared" si="70"/>
        <v>-15.3979962549119-1.48482623006939j</v>
      </c>
      <c r="X167" s="159" t="str">
        <f t="shared" si="71"/>
        <v>-0.0753250763349165-2.14694436228111j</v>
      </c>
      <c r="Y167" s="159">
        <f t="shared" si="72"/>
        <v>6.6417584237175191</v>
      </c>
      <c r="Z167" s="159">
        <f t="shared" si="73"/>
        <v>87.990614237047836</v>
      </c>
      <c r="AB167" s="159" t="str">
        <f t="shared" si="74"/>
        <v>-6.78176448135296-0.653964426368373j</v>
      </c>
      <c r="AC167" s="159">
        <f t="shared" si="75"/>
        <v>16.667051263103435</v>
      </c>
      <c r="AD167" s="159">
        <f t="shared" si="76"/>
        <v>5.5079922501788872</v>
      </c>
      <c r="AF167" s="159" t="str">
        <f t="shared" si="77"/>
        <v>-0.890657314559643-2.77519813819034j</v>
      </c>
      <c r="AG167" s="159">
        <f t="shared" si="78"/>
        <v>9.291631356747116</v>
      </c>
      <c r="AH167" s="159">
        <f t="shared" si="79"/>
        <v>72.206763030366375</v>
      </c>
      <c r="AJ167" s="159" t="str">
        <f t="shared" si="80"/>
        <v>131649.48341208-58337.0135911588j</v>
      </c>
      <c r="AK167" s="159" t="str">
        <f t="shared" si="81"/>
        <v>30000-0.0000649265576847684j</v>
      </c>
      <c r="AL167" s="159" t="str">
        <f t="shared" si="95"/>
        <v>10000-308040.356876829j</v>
      </c>
      <c r="AM167" s="159" t="str">
        <f t="shared" si="96"/>
        <v>962.656594727669-95620.2838510599j</v>
      </c>
      <c r="AN167" s="159" t="str">
        <f t="shared" si="97"/>
        <v>10962.6565947277-95620.2838510599j</v>
      </c>
      <c r="AO167" s="159" t="str">
        <f t="shared" si="98"/>
        <v>26593.125855501-7952.76231593148j</v>
      </c>
      <c r="AP167" s="159" t="str">
        <f t="shared" si="99"/>
        <v>0.164201377375085+0.0592579557147907j</v>
      </c>
      <c r="AQ167" s="159" t="str">
        <f t="shared" si="82"/>
        <v>1+7.20684790300928j</v>
      </c>
      <c r="AR167" s="159">
        <f t="shared" si="83"/>
        <v>-7.6985971016680412E-6</v>
      </c>
      <c r="AS167" s="159" t="str">
        <f t="shared" si="84"/>
        <v>0.000196582467139352j</v>
      </c>
      <c r="AT167" s="159" t="str">
        <f t="shared" si="85"/>
        <v>-7.69859710166804E-06+0.000196582467139352j</v>
      </c>
      <c r="AU167" s="159" t="str">
        <f t="shared" si="86"/>
        <v>5.46084533201673-0.976897130452579j</v>
      </c>
      <c r="AW167" s="159" t="str">
        <f t="shared" si="100"/>
        <v>0.960431863279648+0.11503170866905j</v>
      </c>
      <c r="AX167" s="159">
        <f t="shared" si="87"/>
        <v>-0.28881166888773713</v>
      </c>
      <c r="AY167" s="159">
        <f t="shared" si="88"/>
        <v>-173.17017176724457</v>
      </c>
      <c r="AZ167" s="159" t="str">
        <f t="shared" si="89"/>
        <v>-6.43819605177563-1.40820622861669j</v>
      </c>
      <c r="BA167" s="159">
        <f t="shared" si="90"/>
        <v>16.3782395942157</v>
      </c>
      <c r="BB167" s="159">
        <f t="shared" si="91"/>
        <v>12.337820482934319</v>
      </c>
      <c r="BD167" s="159" t="str">
        <f t="shared" si="92"/>
        <v>-0.536179880434964-2.76784255156474j</v>
      </c>
      <c r="BE167" s="159">
        <f t="shared" si="93"/>
        <v>9.0028196878593718</v>
      </c>
      <c r="BF167" s="159">
        <f t="shared" si="94"/>
        <v>79.036591263121807</v>
      </c>
      <c r="BH167" s="159">
        <f t="shared" si="101"/>
        <v>-8.0028196878593718</v>
      </c>
      <c r="BI167" s="169">
        <f t="shared" si="102"/>
        <v>-79.036591263121807</v>
      </c>
      <c r="BN167" s="165"/>
      <c r="BO167" s="165"/>
      <c r="BP167" s="165"/>
    </row>
    <row r="168" spans="1:68" s="159" customFormat="1">
      <c r="A168" s="159">
        <v>104</v>
      </c>
      <c r="B168" s="159">
        <f t="shared" si="52"/>
        <v>12022.644346174135</v>
      </c>
      <c r="C168" s="159" t="str">
        <f t="shared" si="53"/>
        <v>75540.502309327j</v>
      </c>
      <c r="D168" s="159">
        <f t="shared" si="54"/>
        <v>0.99768729636680653</v>
      </c>
      <c r="E168" s="159" t="str">
        <f t="shared" si="55"/>
        <v>-0.075540502309327j</v>
      </c>
      <c r="F168" s="159" t="str">
        <f t="shared" si="56"/>
        <v>0.997687296366807-0.075540502309327j</v>
      </c>
      <c r="G168" s="159">
        <f t="shared" si="57"/>
        <v>4.7152186370384205E-3</v>
      </c>
      <c r="H168" s="159">
        <f t="shared" si="58"/>
        <v>-4.3299232401185153</v>
      </c>
      <c r="J168" s="159">
        <f t="shared" si="59"/>
        <v>6.3936063936063938</v>
      </c>
      <c r="K168" s="159" t="str">
        <f t="shared" si="60"/>
        <v>1+18.5100669833659j</v>
      </c>
      <c r="L168" s="159">
        <f t="shared" si="61"/>
        <v>-2.3524709475390684</v>
      </c>
      <c r="M168" s="159" t="str">
        <f t="shared" si="62"/>
        <v>0.202264788823239j</v>
      </c>
      <c r="N168" s="159" t="str">
        <f t="shared" si="63"/>
        <v>-2.35247094753907+0.202264788823239j</v>
      </c>
      <c r="O168" s="159" t="str">
        <f t="shared" si="64"/>
        <v>0.249588556698459-7.8468913828514j</v>
      </c>
      <c r="P168" s="159" t="str">
        <f t="shared" si="65"/>
        <v>1.59577099187826-50.1699349153336j</v>
      </c>
      <c r="R168" s="159">
        <f t="shared" si="66"/>
        <v>31.968031968031973</v>
      </c>
      <c r="S168" s="159" t="str">
        <f t="shared" si="67"/>
        <v>1+0.00264391758082644j</v>
      </c>
      <c r="T168" s="159" t="str">
        <f t="shared" si="68"/>
        <v>-2.35247094753907+0.202264788823239j</v>
      </c>
      <c r="U168" s="159" t="str">
        <f t="shared" si="69"/>
        <v>-0.421869643997882-0.0373961226288564j</v>
      </c>
      <c r="V168" s="159" t="str">
        <f t="shared" si="70"/>
        <v>-13.4863422656666-1.19548044367973j</v>
      </c>
      <c r="X168" s="159" t="str">
        <f t="shared" si="71"/>
        <v>-0.086149555501538-1.96675896672622j</v>
      </c>
      <c r="Y168" s="159">
        <f t="shared" si="72"/>
        <v>5.8833475387963006</v>
      </c>
      <c r="Z168" s="159">
        <f t="shared" si="73"/>
        <v>87.491887532331347</v>
      </c>
      <c r="AB168" s="159" t="str">
        <f t="shared" si="74"/>
        <v>-5.93981161227333-0.526527392063303j</v>
      </c>
      <c r="AC168" s="159">
        <f t="shared" si="75"/>
        <v>15.509445692838158</v>
      </c>
      <c r="AD168" s="159">
        <f t="shared" si="76"/>
        <v>5.065674313182285</v>
      </c>
      <c r="AF168" s="159" t="str">
        <f t="shared" si="77"/>
        <v>-0.933935987709534-2.58615004727211j</v>
      </c>
      <c r="AG168" s="159">
        <f t="shared" si="78"/>
        <v>8.7854526148382632</v>
      </c>
      <c r="AH168" s="159">
        <f t="shared" si="79"/>
        <v>70.143835655111559</v>
      </c>
      <c r="AJ168" s="159" t="str">
        <f t="shared" si="80"/>
        <v>129597.311053204-60134.1289008056j</v>
      </c>
      <c r="AK168" s="159" t="str">
        <f t="shared" si="81"/>
        <v>30000-0.0000679864520783943j</v>
      </c>
      <c r="AL168" s="159" t="str">
        <f t="shared" si="95"/>
        <v>10000-294176.257012769j</v>
      </c>
      <c r="AM168" s="159" t="str">
        <f t="shared" si="96"/>
        <v>962.610067122313-91318.6468119624j</v>
      </c>
      <c r="AN168" s="159" t="str">
        <f t="shared" si="97"/>
        <v>10962.6100671223-91318.6468119624j</v>
      </c>
      <c r="AO168" s="159" t="str">
        <f t="shared" si="98"/>
        <v>26319.6329762457-8204.70509046715j</v>
      </c>
      <c r="AP168" s="159" t="str">
        <f t="shared" si="99"/>
        <v>0.164604496789337+0.0620207690559829j</v>
      </c>
      <c r="AQ168" s="159" t="str">
        <f t="shared" si="82"/>
        <v>1+7.54649618070177j</v>
      </c>
      <c r="AR168" s="159">
        <f t="shared" si="83"/>
        <v>-8.450991682484442E-6</v>
      </c>
      <c r="AS168" s="159" t="str">
        <f t="shared" si="84"/>
        <v>0.000205847113387893j</v>
      </c>
      <c r="AT168" s="159" t="str">
        <f t="shared" si="85"/>
        <v>-8.45099168248444E-06+0.000205847113387893j</v>
      </c>
      <c r="AU168" s="159" t="str">
        <f t="shared" si="86"/>
        <v>5.45998360686112-0.952854148984248j</v>
      </c>
      <c r="AW168" s="159" t="str">
        <f t="shared" si="100"/>
        <v>0.964826302272081+0.131131197280692j</v>
      </c>
      <c r="AX168" s="159">
        <f t="shared" si="87"/>
        <v>-0.23152640006584016</v>
      </c>
      <c r="AY168" s="159">
        <f t="shared" si="88"/>
        <v>-172.26025601772847</v>
      </c>
      <c r="AZ168" s="159" t="str">
        <f t="shared" si="89"/>
        <v>-5.66184230674011-1.28690208506856j</v>
      </c>
      <c r="BA168" s="159">
        <f t="shared" si="90"/>
        <v>15.277919292772326</v>
      </c>
      <c r="BB168" s="159">
        <f t="shared" si="91"/>
        <v>12.805418295453819</v>
      </c>
      <c r="BD168" s="159" t="str">
        <f t="shared" si="92"/>
        <v>-0.561961053534303-2.6176537314822j</v>
      </c>
      <c r="BE168" s="159">
        <f t="shared" si="93"/>
        <v>8.5539262147724369</v>
      </c>
      <c r="BF168" s="159">
        <f t="shared" si="94"/>
        <v>77.883579637383136</v>
      </c>
      <c r="BH168" s="159">
        <f t="shared" si="101"/>
        <v>-7.5539262147724369</v>
      </c>
      <c r="BI168" s="169">
        <f t="shared" si="102"/>
        <v>-77.883579637383136</v>
      </c>
      <c r="BN168" s="165"/>
      <c r="BO168" s="165"/>
      <c r="BP168" s="165"/>
    </row>
    <row r="169" spans="1:68" s="159" customFormat="1">
      <c r="A169" s="159">
        <v>105</v>
      </c>
      <c r="B169" s="159">
        <f t="shared" si="52"/>
        <v>12589.254117941677</v>
      </c>
      <c r="C169" s="159" t="str">
        <f t="shared" si="53"/>
        <v>79100.6165022012j</v>
      </c>
      <c r="D169" s="159">
        <f t="shared" si="54"/>
        <v>0.99746417089206219</v>
      </c>
      <c r="E169" s="159" t="str">
        <f t="shared" si="55"/>
        <v>-0.0791006165022012j</v>
      </c>
      <c r="F169" s="159" t="str">
        <f t="shared" si="56"/>
        <v>0.997464170892062-0.0791006165022012j</v>
      </c>
      <c r="G169" s="159">
        <f t="shared" si="57"/>
        <v>5.1723181103352084E-3</v>
      </c>
      <c r="H169" s="159">
        <f t="shared" si="58"/>
        <v>-4.5341645383970892</v>
      </c>
      <c r="J169" s="159">
        <f t="shared" si="59"/>
        <v>6.3936063936063938</v>
      </c>
      <c r="K169" s="159" t="str">
        <f t="shared" si="60"/>
        <v>1+19.3824195646169j</v>
      </c>
      <c r="L169" s="159">
        <f t="shared" si="61"/>
        <v>-2.6759112971800731</v>
      </c>
      <c r="M169" s="159" t="str">
        <f t="shared" si="62"/>
        <v>0.2117972346423j</v>
      </c>
      <c r="N169" s="159" t="str">
        <f t="shared" si="63"/>
        <v>-2.67591129718007+0.2117972346423j</v>
      </c>
      <c r="O169" s="159" t="str">
        <f t="shared" si="64"/>
        <v>0.198356736984794-7.22759688508067j</v>
      </c>
      <c r="P169" s="159" t="str">
        <f t="shared" si="65"/>
        <v>1.26821490180088-46.2104096548614j</v>
      </c>
      <c r="R169" s="159">
        <f t="shared" si="66"/>
        <v>31.968031968031973</v>
      </c>
      <c r="S169" s="159" t="str">
        <f t="shared" si="67"/>
        <v>1+0.00276852157757704j</v>
      </c>
      <c r="T169" s="159" t="str">
        <f t="shared" si="68"/>
        <v>-2.67591129718007+0.2117972346423j</v>
      </c>
      <c r="U169" s="159" t="str">
        <f t="shared" si="69"/>
        <v>-0.371296531665461-0.0304225705472332j</v>
      </c>
      <c r="V169" s="159" t="str">
        <f t="shared" si="70"/>
        <v>-11.8696193939009-0.972549707803659j</v>
      </c>
      <c r="X169" s="159" t="str">
        <f t="shared" si="71"/>
        <v>-0.0936949103991685-1.81071370336345j</v>
      </c>
      <c r="Y169" s="159">
        <f t="shared" si="72"/>
        <v>5.168608540128389</v>
      </c>
      <c r="Z169" s="159">
        <f t="shared" si="73"/>
        <v>87.037886586050234</v>
      </c>
      <c r="AB169" s="159" t="str">
        <f t="shared" si="74"/>
        <v>-5.22775573393565-0.428341646246932j</v>
      </c>
      <c r="AC169" s="159">
        <f t="shared" si="75"/>
        <v>14.395364735159665</v>
      </c>
      <c r="AD169" s="159">
        <f t="shared" si="76"/>
        <v>4.6841261386857127</v>
      </c>
      <c r="AF169" s="159" t="str">
        <f t="shared" si="77"/>
        <v>-0.966406576256462-2.40341503307063j</v>
      </c>
      <c r="AG169" s="159">
        <f t="shared" si="78"/>
        <v>8.2674488102278705</v>
      </c>
      <c r="AH169" s="159">
        <f t="shared" si="79"/>
        <v>68.095076181818555</v>
      </c>
      <c r="AJ169" s="159" t="str">
        <f t="shared" si="80"/>
        <v>127419.448855647-61909.9931197507j</v>
      </c>
      <c r="AK169" s="159" t="str">
        <f t="shared" si="81"/>
        <v>30000-0.0000711905548519812j</v>
      </c>
      <c r="AL169" s="159" t="str">
        <f t="shared" si="95"/>
        <v>10000-280936.144430731j</v>
      </c>
      <c r="AM169" s="159" t="str">
        <f t="shared" si="96"/>
        <v>962.559055786656-87210.7086554885j</v>
      </c>
      <c r="AN169" s="159" t="str">
        <f t="shared" si="97"/>
        <v>10962.5590557867-87210.7086554885j</v>
      </c>
      <c r="AO169" s="159" t="str">
        <f t="shared" si="98"/>
        <v>26028.8951694953-8454.61986076886j</v>
      </c>
      <c r="AP169" s="159" t="str">
        <f t="shared" si="99"/>
        <v>0.16504606172663+0.0649093905535564j</v>
      </c>
      <c r="AQ169" s="159" t="str">
        <f t="shared" si="82"/>
        <v>1+7.9021515885699j</v>
      </c>
      <c r="AR169" s="159">
        <f t="shared" si="83"/>
        <v>-9.2759759352459219E-6</v>
      </c>
      <c r="AS169" s="159" t="str">
        <f t="shared" si="84"/>
        <v>0.000215548388962333j</v>
      </c>
      <c r="AT169" s="159" t="str">
        <f t="shared" si="85"/>
        <v>-9.27597593524592E-06+0.000215548388962333j</v>
      </c>
      <c r="AU169" s="159" t="str">
        <f t="shared" si="86"/>
        <v>5.45904530979474-0.930825666983457j</v>
      </c>
      <c r="AW169" s="159" t="str">
        <f t="shared" si="100"/>
        <v>0.969635329427958+0.147407867039649j</v>
      </c>
      <c r="AX169" s="159">
        <f t="shared" si="87"/>
        <v>-0.16860254722467746</v>
      </c>
      <c r="AY169" s="159">
        <f t="shared" si="88"/>
        <v>-171.35585189352653</v>
      </c>
      <c r="AZ169" s="159" t="str">
        <f t="shared" si="89"/>
        <v>-5.00587572480608-1.18594751541011j</v>
      </c>
      <c r="BA169" s="159">
        <f t="shared" si="90"/>
        <v>14.226762187934995</v>
      </c>
      <c r="BB169" s="159">
        <f t="shared" si="91"/>
        <v>13.328274245159236</v>
      </c>
      <c r="BD169" s="159" t="str">
        <f t="shared" si="92"/>
        <v>-0.582779675293809-2.4728920594426j</v>
      </c>
      <c r="BE169" s="159">
        <f t="shared" si="93"/>
        <v>8.098846263003189</v>
      </c>
      <c r="BF169" s="159">
        <f t="shared" si="94"/>
        <v>76.73922428829205</v>
      </c>
      <c r="BH169" s="159">
        <f t="shared" si="101"/>
        <v>-7.098846263003189</v>
      </c>
      <c r="BI169" s="169">
        <f t="shared" si="102"/>
        <v>-76.73922428829205</v>
      </c>
      <c r="BN169" s="165"/>
      <c r="BO169" s="165"/>
      <c r="BP169" s="165"/>
    </row>
    <row r="170" spans="1:68" s="159" customFormat="1">
      <c r="A170" s="159">
        <v>106</v>
      </c>
      <c r="B170" s="159">
        <f t="shared" si="52"/>
        <v>13182.567385564085</v>
      </c>
      <c r="C170" s="159" t="str">
        <f t="shared" si="53"/>
        <v>82828.5137078811j</v>
      </c>
      <c r="D170" s="159">
        <f t="shared" si="54"/>
        <v>0.99721951867400094</v>
      </c>
      <c r="E170" s="159" t="str">
        <f t="shared" si="55"/>
        <v>-0.0828285137078811j</v>
      </c>
      <c r="F170" s="159" t="str">
        <f t="shared" si="56"/>
        <v>0.997219518674001-0.0828285137078811j</v>
      </c>
      <c r="G170" s="159">
        <f t="shared" si="57"/>
        <v>5.6739587960906411E-3</v>
      </c>
      <c r="H170" s="159">
        <f t="shared" si="58"/>
        <v>-4.7480577130911259</v>
      </c>
      <c r="J170" s="159">
        <f t="shared" si="59"/>
        <v>6.3936063936063938</v>
      </c>
      <c r="K170" s="159" t="str">
        <f t="shared" si="60"/>
        <v>1+20.2958848564106j</v>
      </c>
      <c r="L170" s="159">
        <f t="shared" si="61"/>
        <v>-3.030556588314373</v>
      </c>
      <c r="M170" s="159" t="str">
        <f t="shared" si="62"/>
        <v>0.221778930792188j</v>
      </c>
      <c r="N170" s="159" t="str">
        <f t="shared" si="63"/>
        <v>-3.03055658831437+0.221778930792188j</v>
      </c>
      <c r="O170" s="159" t="str">
        <f t="shared" si="64"/>
        <v>0.159273251124691-6.68542586638896j</v>
      </c>
      <c r="P170" s="159" t="str">
        <f t="shared" si="65"/>
        <v>1.0183304767213-42.743981563326j</v>
      </c>
      <c r="R170" s="159">
        <f t="shared" si="66"/>
        <v>31.968031968031973</v>
      </c>
      <c r="S170" s="159" t="str">
        <f t="shared" si="67"/>
        <v>1+0.00289899797977584j</v>
      </c>
      <c r="T170" s="159" t="str">
        <f t="shared" si="68"/>
        <v>-3.03055658831437+0.221778930792188j</v>
      </c>
      <c r="U170" s="159" t="str">
        <f t="shared" si="69"/>
        <v>-0.328145022279549-0.0249705451656998j</v>
      </c>
      <c r="V170" s="159" t="str">
        <f t="shared" si="70"/>
        <v>-10.4901505623832-0.798259186116277j</v>
      </c>
      <c r="X170" s="159" t="str">
        <f t="shared" si="71"/>
        <v>-0.0989729168531272-1.67414387902973j</v>
      </c>
      <c r="Y170" s="159">
        <f t="shared" si="72"/>
        <v>4.491007715899709</v>
      </c>
      <c r="Z170" s="159">
        <f t="shared" si="73"/>
        <v>86.616695905940574</v>
      </c>
      <c r="AB170" s="159" t="str">
        <f t="shared" si="74"/>
        <v>-4.62019403760546-0.351578588908292j</v>
      </c>
      <c r="AC170" s="159">
        <f t="shared" si="75"/>
        <v>13.318280079123095</v>
      </c>
      <c r="AD170" s="159">
        <f t="shared" si="76"/>
        <v>4.351596863049366</v>
      </c>
      <c r="AF170" s="159" t="str">
        <f t="shared" si="77"/>
        <v>-0.988856129679388-2.22753129533278j</v>
      </c>
      <c r="AG170" s="159">
        <f t="shared" si="78"/>
        <v>7.7376685865471373</v>
      </c>
      <c r="AH170" s="159">
        <f t="shared" si="79"/>
        <v>66.062383652652571</v>
      </c>
      <c r="AJ170" s="159" t="str">
        <f t="shared" si="80"/>
        <v>125114.079108779-63654.8086824153j</v>
      </c>
      <c r="AK170" s="159" t="str">
        <f t="shared" si="81"/>
        <v>30000-0.0000745456623370929j</v>
      </c>
      <c r="AL170" s="159" t="str">
        <f t="shared" si="95"/>
        <v>10000-268291.935076795j</v>
      </c>
      <c r="AM170" s="159" t="str">
        <f t="shared" si="96"/>
        <v>962.503129183017-83287.7558628901j</v>
      </c>
      <c r="AN170" s="159" t="str">
        <f t="shared" si="97"/>
        <v>10962.503129183-83287.7558628901j</v>
      </c>
      <c r="AO170" s="159" t="str">
        <f t="shared" si="98"/>
        <v>25720.5794885374-8701.20970315553j</v>
      </c>
      <c r="AP170" s="159" t="str">
        <f t="shared" si="99"/>
        <v>0.1655296918415+0.0679291065244598j</v>
      </c>
      <c r="AQ170" s="159" t="str">
        <f t="shared" si="82"/>
        <v>1+8.27456851941732j</v>
      </c>
      <c r="AR170" s="159">
        <f t="shared" si="83"/>
        <v>-1.0180553180560389E-5</v>
      </c>
      <c r="AS170" s="159" t="str">
        <f t="shared" si="84"/>
        <v>0.000225706871568839j</v>
      </c>
      <c r="AT170" s="159" t="str">
        <f t="shared" si="85"/>
        <v>-0.0000101805531805604+0.000225706871568839j</v>
      </c>
      <c r="AU170" s="159" t="str">
        <f t="shared" si="86"/>
        <v>5.45802255910407-0.910763981153145j</v>
      </c>
      <c r="AW170" s="159" t="str">
        <f t="shared" si="100"/>
        <v>0.974896781384067+0.1638815745556j</v>
      </c>
      <c r="AX170" s="159">
        <f t="shared" si="87"/>
        <v>-9.9805868607113324E-2</v>
      </c>
      <c r="AY170" s="159">
        <f t="shared" si="88"/>
        <v>-170.45771054549201</v>
      </c>
      <c r="AZ170" s="159" t="str">
        <f t="shared" si="89"/>
        <v>-4.44659504390109-1.09991750836542j</v>
      </c>
      <c r="BA170" s="159">
        <f t="shared" si="90"/>
        <v>13.218474210515975</v>
      </c>
      <c r="BB170" s="159">
        <f t="shared" si="91"/>
        <v>13.893886317557332</v>
      </c>
      <c r="BD170" s="159" t="str">
        <f t="shared" si="92"/>
        <v>-0.598981322025331-2.33366838979302j</v>
      </c>
      <c r="BE170" s="159">
        <f t="shared" si="93"/>
        <v>7.6378627179400134</v>
      </c>
      <c r="BF170" s="159">
        <f t="shared" si="94"/>
        <v>75.604673107160494</v>
      </c>
      <c r="BH170" s="159">
        <f t="shared" si="101"/>
        <v>-6.6378627179400134</v>
      </c>
      <c r="BI170" s="169">
        <f t="shared" si="102"/>
        <v>-75.604673107160494</v>
      </c>
      <c r="BN170" s="165"/>
      <c r="BO170" s="165"/>
      <c r="BP170" s="165"/>
    </row>
    <row r="171" spans="1:68" s="159" customFormat="1">
      <c r="A171" s="159">
        <v>107</v>
      </c>
      <c r="B171" s="159">
        <f t="shared" si="52"/>
        <v>13803.842646028861</v>
      </c>
      <c r="C171" s="159" t="str">
        <f t="shared" si="53"/>
        <v>86732.1012961475j</v>
      </c>
      <c r="D171" s="159">
        <f t="shared" si="54"/>
        <v>0.99695126285125879</v>
      </c>
      <c r="E171" s="159" t="str">
        <f t="shared" si="55"/>
        <v>-0.0867321012961475j</v>
      </c>
      <c r="F171" s="159" t="str">
        <f t="shared" si="56"/>
        <v>0.996951262851259-0.0867321012961475j</v>
      </c>
      <c r="G171" s="159">
        <f t="shared" si="57"/>
        <v>6.2245269729113784E-3</v>
      </c>
      <c r="H171" s="159">
        <f t="shared" si="58"/>
        <v>-4.9720615015708471</v>
      </c>
      <c r="J171" s="159">
        <f t="shared" si="59"/>
        <v>6.3936063936063938</v>
      </c>
      <c r="K171" s="159" t="str">
        <f t="shared" si="60"/>
        <v>1+21.2524004411015j</v>
      </c>
      <c r="L171" s="159">
        <f t="shared" si="61"/>
        <v>-3.4194174174079652</v>
      </c>
      <c r="M171" s="159" t="str">
        <f t="shared" si="62"/>
        <v>0.232231049788704j</v>
      </c>
      <c r="N171" s="159" t="str">
        <f t="shared" si="63"/>
        <v>-3.41941741740797+0.232231049788704j</v>
      </c>
      <c r="O171" s="159" t="str">
        <f t="shared" si="64"/>
        <v>0.129065647538477-6.20644536763496j</v>
      </c>
      <c r="P171" s="159" t="str">
        <f t="shared" si="65"/>
        <v>0.825194949296956-39.6815687840797j</v>
      </c>
      <c r="R171" s="159">
        <f t="shared" si="66"/>
        <v>31.968031968031973</v>
      </c>
      <c r="S171" s="159" t="str">
        <f t="shared" si="67"/>
        <v>1+0.00303562354536516j</v>
      </c>
      <c r="T171" s="159" t="str">
        <f t="shared" si="68"/>
        <v>-3.41941741740797+0.232231049788704j</v>
      </c>
      <c r="U171" s="159" t="str">
        <f t="shared" si="69"/>
        <v>-0.291044741697489-0.0206541760844136j</v>
      </c>
      <c r="V171" s="159" t="str">
        <f t="shared" si="70"/>
        <v>-9.30412760671294-0.660273361339895j</v>
      </c>
      <c r="X171" s="159" t="str">
        <f t="shared" si="71"/>
        <v>-0.102660125961153-1.55351787239787j</v>
      </c>
      <c r="Y171" s="159">
        <f t="shared" si="72"/>
        <v>3.8452489009388033</v>
      </c>
      <c r="Z171" s="159">
        <f t="shared" si="73"/>
        <v>86.219256675974634</v>
      </c>
      <c r="AB171" s="159" t="str">
        <f t="shared" si="74"/>
        <v>-4.09783202233558-0.290805268152343j</v>
      </c>
      <c r="AC171" s="159">
        <f t="shared" si="75"/>
        <v>12.272899747834433</v>
      </c>
      <c r="AD171" s="159">
        <f t="shared" si="76"/>
        <v>4.05922648164929</v>
      </c>
      <c r="AF171" s="159" t="str">
        <f t="shared" si="77"/>
        <v>-1.00209413508553-2.05894830964885j</v>
      </c>
      <c r="AG171" s="159">
        <f t="shared" si="78"/>
        <v>7.1961802535919075</v>
      </c>
      <c r="AH171" s="159">
        <f t="shared" si="79"/>
        <v>64.047723273669959</v>
      </c>
      <c r="AJ171" s="159" t="str">
        <f t="shared" si="80"/>
        <v>122680.308034255-65358.1711495621j</v>
      </c>
      <c r="AK171" s="159" t="str">
        <f t="shared" si="81"/>
        <v>30000-0.0000780588911665329j</v>
      </c>
      <c r="AL171" s="159" t="str">
        <f t="shared" si="95"/>
        <v>10000-256216.808887683j</v>
      </c>
      <c r="AM171" s="159" t="str">
        <f t="shared" si="96"/>
        <v>962.441814350713-79541.4672895708j</v>
      </c>
      <c r="AN171" s="159" t="str">
        <f t="shared" si="97"/>
        <v>10962.4418143507-79541.4672895708j</v>
      </c>
      <c r="AO171" s="159" t="str">
        <f t="shared" si="98"/>
        <v>25394.469380123-8943.08653975735j</v>
      </c>
      <c r="AP171" s="159" t="str">
        <f t="shared" si="99"/>
        <v>0.166059338172663+0.0710853594671844j</v>
      </c>
      <c r="AQ171" s="159" t="str">
        <f t="shared" si="82"/>
        <v>1+8.66453691948514j</v>
      </c>
      <c r="AR171" s="159">
        <f t="shared" si="83"/>
        <v>-1.1172402406774919E-5</v>
      </c>
      <c r="AS171" s="159" t="str">
        <f t="shared" si="84"/>
        <v>0.000236344108710989j</v>
      </c>
      <c r="AT171" s="159" t="str">
        <f t="shared" si="85"/>
        <v>-0.0000111724024067749+0.000236344108710989j</v>
      </c>
      <c r="AU171" s="159" t="str">
        <f t="shared" si="86"/>
        <v>5.45690677296931-0.89262541602781j</v>
      </c>
      <c r="AW171" s="159" t="str">
        <f t="shared" si="100"/>
        <v>0.980651741872211+0.180570495372984j</v>
      </c>
      <c r="AX171" s="159">
        <f t="shared" si="87"/>
        <v>-2.4897489604294165E-2</v>
      </c>
      <c r="AY171" s="159">
        <f t="shared" si="88"/>
        <v>-169.56681248144488</v>
      </c>
      <c r="AZ171" s="159" t="str">
        <f t="shared" si="89"/>
        <v>-3.96603525927577-1.02512625098762j</v>
      </c>
      <c r="BA171" s="159">
        <f t="shared" si="90"/>
        <v>12.248002258230141</v>
      </c>
      <c r="BB171" s="159">
        <f t="shared" si="91"/>
        <v>14.492414000204377</v>
      </c>
      <c r="BD171" s="159" t="str">
        <f t="shared" si="92"/>
        <v>-0.610920042870889-2.20005988066474j</v>
      </c>
      <c r="BE171" s="159">
        <f t="shared" si="93"/>
        <v>7.1712827639875929</v>
      </c>
      <c r="BF171" s="159">
        <f t="shared" si="94"/>
        <v>74.48091079222506</v>
      </c>
      <c r="BH171" s="159">
        <f t="shared" si="101"/>
        <v>-6.1712827639875929</v>
      </c>
      <c r="BI171" s="169">
        <f t="shared" si="102"/>
        <v>-74.48091079222506</v>
      </c>
      <c r="BN171" s="165"/>
      <c r="BO171" s="165"/>
      <c r="BP171" s="165"/>
    </row>
    <row r="172" spans="1:68" s="159" customFormat="1">
      <c r="A172" s="159">
        <v>108</v>
      </c>
      <c r="B172" s="159">
        <f t="shared" si="52"/>
        <v>14454.397707459284</v>
      </c>
      <c r="C172" s="159" t="str">
        <f t="shared" si="53"/>
        <v>90819.6592996385j</v>
      </c>
      <c r="D172" s="159">
        <f t="shared" si="54"/>
        <v>0.99665712619063351</v>
      </c>
      <c r="E172" s="159" t="str">
        <f t="shared" si="55"/>
        <v>-0.0908196592996385j</v>
      </c>
      <c r="F172" s="159" t="str">
        <f t="shared" si="56"/>
        <v>0.996657126190634-0.0908196592996385j</v>
      </c>
      <c r="G172" s="159">
        <f t="shared" si="57"/>
        <v>6.8288500445522239E-3</v>
      </c>
      <c r="H172" s="159">
        <f t="shared" si="58"/>
        <v>-5.2066568233858179</v>
      </c>
      <c r="J172" s="159">
        <f t="shared" si="59"/>
        <v>6.3936063936063938</v>
      </c>
      <c r="K172" s="159" t="str">
        <f t="shared" si="60"/>
        <v>1+22.2539952164869j</v>
      </c>
      <c r="L172" s="159">
        <f t="shared" si="61"/>
        <v>-3.8457948378432603</v>
      </c>
      <c r="M172" s="159" t="str">
        <f t="shared" si="62"/>
        <v>0.243175761977582j</v>
      </c>
      <c r="N172" s="159" t="str">
        <f t="shared" si="63"/>
        <v>-3.84579483784326+0.243175761977582j</v>
      </c>
      <c r="O172" s="159" t="str">
        <f t="shared" si="64"/>
        <v>0.105448763095503-5.77991119402441j</v>
      </c>
      <c r="P172" s="159" t="str">
        <f t="shared" si="65"/>
        <v>0.674197885925294-36.9544771645916j</v>
      </c>
      <c r="R172" s="159">
        <f t="shared" si="66"/>
        <v>31.968031968031973</v>
      </c>
      <c r="S172" s="159" t="str">
        <f t="shared" si="67"/>
        <v>1+0.00317868807548735j</v>
      </c>
      <c r="T172" s="159" t="str">
        <f t="shared" si="68"/>
        <v>-3.84579483784326+0.243175761977582j</v>
      </c>
      <c r="U172" s="159" t="str">
        <f t="shared" si="69"/>
        <v>-0.258936718109822-0.0171995191097902j</v>
      </c>
      <c r="V172" s="159" t="str">
        <f t="shared" si="70"/>
        <v>-8.27769728223207-0.54983477673655j</v>
      </c>
      <c r="X172" s="159" t="str">
        <f t="shared" si="71"/>
        <v>-0.105218300788848-1.4461147040478j</v>
      </c>
      <c r="Y172" s="159">
        <f t="shared" si="72"/>
        <v>3.2269853849139398</v>
      </c>
      <c r="Z172" s="159">
        <f t="shared" si="73"/>
        <v>85.838532053955902</v>
      </c>
      <c r="AB172" s="159" t="str">
        <f t="shared" si="74"/>
        <v>-3.64575964863778-0.242164623094715j</v>
      </c>
      <c r="AC172" s="159">
        <f t="shared" si="75"/>
        <v>11.254880035666403</v>
      </c>
      <c r="AD172" s="159">
        <f t="shared" si="76"/>
        <v>3.8002117688903922</v>
      </c>
      <c r="AF172" s="159" t="str">
        <f t="shared" si="77"/>
        <v>-1.00694328619757-1.89802732544093j</v>
      </c>
      <c r="AG172" s="159">
        <f t="shared" si="78"/>
        <v>6.6430743150095948</v>
      </c>
      <c r="AH172" s="159">
        <f t="shared" si="79"/>
        <v>62.053112136595402</v>
      </c>
      <c r="AJ172" s="159" t="str">
        <f t="shared" si="80"/>
        <v>120118.287111799-67009.1584892374j</v>
      </c>
      <c r="AK172" s="159" t="str">
        <f t="shared" si="81"/>
        <v>30000-0.0000817376933696748j</v>
      </c>
      <c r="AL172" s="159" t="str">
        <f t="shared" si="95"/>
        <v>10000-244685.152901809j</v>
      </c>
      <c r="AM172" s="159" t="str">
        <f t="shared" si="96"/>
        <v>962.374592952176-75963.8965141427j</v>
      </c>
      <c r="AN172" s="159" t="str">
        <f t="shared" si="97"/>
        <v>10962.3745929522-75963.8965141427j</v>
      </c>
      <c r="AO172" s="159" t="str">
        <f t="shared" si="98"/>
        <v>25050.4819270142-9178.78129077827j</v>
      </c>
      <c r="AP172" s="159" t="str">
        <f t="shared" si="99"/>
        <v>0.166639311591824+0.07438374223229j</v>
      </c>
      <c r="AQ172" s="159" t="str">
        <f t="shared" si="82"/>
        <v>1+9.07288396403389j</v>
      </c>
      <c r="AR172" s="159">
        <f t="shared" si="83"/>
        <v>-1.2259943457180662E-5</v>
      </c>
      <c r="AS172" s="159" t="str">
        <f t="shared" si="84"/>
        <v>0.000247482663394922j</v>
      </c>
      <c r="AT172" s="159" t="str">
        <f t="shared" si="85"/>
        <v>-0.0000122599434571807+0.000247482663394922j</v>
      </c>
      <c r="AU172" s="159" t="str">
        <f t="shared" si="86"/>
        <v>5.45568859999348-0.876370210263204j</v>
      </c>
      <c r="AW172" s="159" t="str">
        <f t="shared" si="100"/>
        <v>0.986944773778425+0.197490870375078j</v>
      </c>
      <c r="AX172" s="159">
        <f t="shared" si="87"/>
        <v>5.6362954918748556E-2</v>
      </c>
      <c r="AY172" s="159">
        <f t="shared" si="88"/>
        <v>-168.68437862251886</v>
      </c>
      <c r="AZ172" s="159" t="str">
        <f t="shared" si="89"/>
        <v>-3.55033812948629-0.959007355345164j</v>
      </c>
      <c r="BA172" s="159">
        <f t="shared" si="90"/>
        <v>11.311242990585137</v>
      </c>
      <c r="BB172" s="159">
        <f t="shared" si="91"/>
        <v>15.115833146371557</v>
      </c>
      <c r="BD172" s="159" t="str">
        <f t="shared" si="92"/>
        <v>-0.618954345306955-2.07211025534207j</v>
      </c>
      <c r="BE172" s="159">
        <f t="shared" si="93"/>
        <v>6.6994372699283566</v>
      </c>
      <c r="BF172" s="159">
        <f t="shared" si="94"/>
        <v>73.368733514076553</v>
      </c>
      <c r="BH172" s="159">
        <f t="shared" si="101"/>
        <v>-5.6994372699283566</v>
      </c>
      <c r="BI172" s="169">
        <f t="shared" si="102"/>
        <v>-73.368733514076553</v>
      </c>
      <c r="BN172" s="165"/>
      <c r="BO172" s="165"/>
      <c r="BP172" s="165"/>
    </row>
    <row r="173" spans="1:68" s="159" customFormat="1">
      <c r="A173" s="159">
        <v>109</v>
      </c>
      <c r="B173" s="159">
        <f t="shared" si="52"/>
        <v>15135.612484362091</v>
      </c>
      <c r="C173" s="159" t="str">
        <f t="shared" si="53"/>
        <v>95099.8579769078j</v>
      </c>
      <c r="D173" s="159">
        <f t="shared" si="54"/>
        <v>0.99633461175557159</v>
      </c>
      <c r="E173" s="159" t="str">
        <f t="shared" si="55"/>
        <v>-0.0950998579769078j</v>
      </c>
      <c r="F173" s="159" t="str">
        <f t="shared" si="56"/>
        <v>0.996334611755572-0.0950998579769078j</v>
      </c>
      <c r="G173" s="159">
        <f t="shared" si="57"/>
        <v>7.4922427088752915E-3</v>
      </c>
      <c r="H173" s="159">
        <f t="shared" si="58"/>
        <v>-5.4523479066701679</v>
      </c>
      <c r="J173" s="159">
        <f t="shared" si="59"/>
        <v>6.3936063936063938</v>
      </c>
      <c r="K173" s="159" t="str">
        <f t="shared" si="60"/>
        <v>1+23.3027936993716j</v>
      </c>
      <c r="L173" s="159">
        <f t="shared" si="61"/>
        <v>-4.3133083826783309</v>
      </c>
      <c r="M173" s="159" t="str">
        <f t="shared" si="62"/>
        <v>0.254636282560756j</v>
      </c>
      <c r="N173" s="159" t="str">
        <f t="shared" si="63"/>
        <v>-4.31330838267833+0.254636282560756j</v>
      </c>
      <c r="O173" s="159" t="str">
        <f t="shared" si="64"/>
        <v>0.0867956336656143-5.39740967174168j</v>
      </c>
      <c r="P173" s="159" t="str">
        <f t="shared" si="65"/>
        <v>0.55493711834159-34.5089129861606j</v>
      </c>
      <c r="R173" s="159">
        <f t="shared" si="66"/>
        <v>31.968031968031973</v>
      </c>
      <c r="S173" s="159" t="str">
        <f t="shared" si="67"/>
        <v>1+0.00332849502919177j</v>
      </c>
      <c r="T173" s="159" t="str">
        <f t="shared" si="68"/>
        <v>-4.31330838267833+0.254636282560756j</v>
      </c>
      <c r="U173" s="159" t="str">
        <f t="shared" si="69"/>
        <v>-0.230990011763335-0.0144081821700592j</v>
      </c>
      <c r="V173" s="159" t="str">
        <f t="shared" si="70"/>
        <v>-7.38429608034637-0.460601228213681j</v>
      </c>
      <c r="X173" s="159" t="str">
        <f t="shared" si="71"/>
        <v>-0.106968148088837-1.34980519658001j</v>
      </c>
      <c r="Y173" s="159">
        <f t="shared" si="72"/>
        <v>2.632610770955051</v>
      </c>
      <c r="Z173" s="159">
        <f t="shared" si="73"/>
        <v>85.468944933226183</v>
      </c>
      <c r="AB173" s="159" t="str">
        <f t="shared" si="74"/>
        <v>-3.25227750730957-0.202863346493583j</v>
      </c>
      <c r="AC173" s="159">
        <f t="shared" si="75"/>
        <v>10.260616385352835</v>
      </c>
      <c r="AD173" s="159">
        <f t="shared" si="76"/>
        <v>3.5692447356644266</v>
      </c>
      <c r="AF173" s="159" t="str">
        <f t="shared" si="77"/>
        <v>-1.00423040028083-1.74504275073864j</v>
      </c>
      <c r="AG173" s="159">
        <f t="shared" si="78"/>
        <v>6.0784655871080693</v>
      </c>
      <c r="AH173" s="159">
        <f t="shared" si="79"/>
        <v>60.080601754359321</v>
      </c>
      <c r="AJ173" s="159" t="str">
        <f t="shared" si="80"/>
        <v>117429.326841095-68596.4443329223j</v>
      </c>
      <c r="AK173" s="159" t="str">
        <f t="shared" si="81"/>
        <v>30000-0.0000855898721792169j</v>
      </c>
      <c r="AL173" s="159" t="str">
        <f t="shared" si="95"/>
        <v>10000-233672.506930749j</v>
      </c>
      <c r="AM173" s="159" t="str">
        <f t="shared" si="96"/>
        <v>962.300896946268-72547.4549822213j</v>
      </c>
      <c r="AN173" s="159" t="str">
        <f t="shared" si="97"/>
        <v>10962.3008969463-72547.4549822213j</v>
      </c>
      <c r="AO173" s="159" t="str">
        <f t="shared" si="98"/>
        <v>24688.6844788827-9406.7572878582j</v>
      </c>
      <c r="AP173" s="159" t="str">
        <f t="shared" si="99"/>
        <v>0.167274313311112+0.0778299901109103j</v>
      </c>
      <c r="AQ173" s="159" t="str">
        <f t="shared" si="82"/>
        <v>1+9.50047581189309j</v>
      </c>
      <c r="AR173" s="159">
        <f t="shared" si="83"/>
        <v>-1.3452408506361201E-5</v>
      </c>
      <c r="AS173" s="159" t="str">
        <f t="shared" si="84"/>
        <v>0.000259146161988494j</v>
      </c>
      <c r="AT173" s="159" t="str">
        <f t="shared" si="85"/>
        <v>-0.0000134524085063612+0.000259146161988494j</v>
      </c>
      <c r="AU173" s="159" t="str">
        <f t="shared" si="86"/>
        <v>5.45435784387534-0.861962408170275j</v>
      </c>
      <c r="AW173" s="159" t="str">
        <f t="shared" si="100"/>
        <v>0.993824158178762+0.214656709538656j</v>
      </c>
      <c r="AX173" s="159">
        <f t="shared" si="87"/>
        <v>0.14421387473019867</v>
      </c>
      <c r="AY173" s="159">
        <f t="shared" si="88"/>
        <v>-167.81187953621321</v>
      </c>
      <c r="AZ173" s="159" t="str">
        <f t="shared" si="89"/>
        <v>-3.18864597742134-0.899733682779966j</v>
      </c>
      <c r="BA173" s="159">
        <f t="shared" si="90"/>
        <v>10.404830260083029</v>
      </c>
      <c r="BB173" s="159">
        <f t="shared" si="91"/>
        <v>15.757365199451243</v>
      </c>
      <c r="BD173" s="159" t="str">
        <f t="shared" si="92"/>
        <v>-0.623443297298779-1.94983043608175j</v>
      </c>
      <c r="BE173" s="159">
        <f t="shared" si="93"/>
        <v>6.2226794618382737</v>
      </c>
      <c r="BF173" s="159">
        <f t="shared" si="94"/>
        <v>72.268722218146024</v>
      </c>
      <c r="BH173" s="159">
        <f t="shared" si="101"/>
        <v>-5.2226794618382737</v>
      </c>
      <c r="BI173" s="169">
        <f t="shared" si="102"/>
        <v>-72.268722218146024</v>
      </c>
      <c r="BN173" s="165"/>
      <c r="BO173" s="165"/>
      <c r="BP173" s="165"/>
    </row>
    <row r="174" spans="1:68" s="159" customFormat="1">
      <c r="A174" s="159">
        <v>110</v>
      </c>
      <c r="B174" s="159">
        <f t="shared" si="52"/>
        <v>15848.931924611154</v>
      </c>
      <c r="C174" s="159" t="str">
        <f t="shared" si="53"/>
        <v>99581.7762032063j</v>
      </c>
      <c r="D174" s="159">
        <f t="shared" si="54"/>
        <v>0.99598098170958471</v>
      </c>
      <c r="E174" s="159" t="str">
        <f t="shared" si="55"/>
        <v>-0.0995817762032063j</v>
      </c>
      <c r="F174" s="159" t="str">
        <f t="shared" si="56"/>
        <v>0.995980981709585-0.0995817762032063j</v>
      </c>
      <c r="G174" s="159">
        <f t="shared" si="57"/>
        <v>8.2205583050737278E-3</v>
      </c>
      <c r="H174" s="159">
        <f t="shared" si="58"/>
        <v>-5.7096634790239831</v>
      </c>
      <c r="J174" s="159">
        <f t="shared" si="59"/>
        <v>6.3936063936063938</v>
      </c>
      <c r="K174" s="159" t="str">
        <f t="shared" si="60"/>
        <v>1+24.4010205319527j</v>
      </c>
      <c r="L174" s="159">
        <f t="shared" si="61"/>
        <v>-4.8259267909916153</v>
      </c>
      <c r="M174" s="159" t="str">
        <f t="shared" si="62"/>
        <v>0.266636920838924j</v>
      </c>
      <c r="N174" s="159" t="str">
        <f t="shared" si="63"/>
        <v>-4.82592679099162+0.266636920838924j</v>
      </c>
      <c r="O174" s="159" t="str">
        <f t="shared" si="64"/>
        <v>0.0719280129611454-5.05226103171879j</v>
      </c>
      <c r="P174" s="159" t="str">
        <f t="shared" si="65"/>
        <v>0.459879403547783-32.3021684345657j</v>
      </c>
      <c r="R174" s="159">
        <f t="shared" si="66"/>
        <v>31.968031968031973</v>
      </c>
      <c r="S174" s="159" t="str">
        <f t="shared" si="67"/>
        <v>1+0.00348536216711222j</v>
      </c>
      <c r="T174" s="159" t="str">
        <f t="shared" si="68"/>
        <v>-4.82592679099162+0.266636920838924j</v>
      </c>
      <c r="U174" s="159" t="str">
        <f t="shared" si="69"/>
        <v>-0.206543672416899-0.0121339451540012j</v>
      </c>
      <c r="V174" s="159" t="str">
        <f t="shared" si="70"/>
        <v>-6.60279472261815-0.387898346581457j</v>
      </c>
      <c r="X174" s="159" t="str">
        <f t="shared" si="71"/>
        <v>-0.108135731760534-1.26290004503942j</v>
      </c>
      <c r="Y174" s="159">
        <f t="shared" si="72"/>
        <v>2.0591042803034814</v>
      </c>
      <c r="Z174" s="159">
        <f t="shared" si="73"/>
        <v>85.10598977885526</v>
      </c>
      <c r="AB174" s="159" t="str">
        <f t="shared" si="74"/>
        <v>-2.90807959595602-0.170842698340215j</v>
      </c>
      <c r="AC174" s="159">
        <f t="shared" si="75"/>
        <v>9.2870887004881553</v>
      </c>
      <c r="AD174" s="159">
        <f t="shared" si="76"/>
        <v>3.3621252396449677</v>
      </c>
      <c r="AF174" s="159" t="str">
        <f t="shared" si="77"/>
        <v>-0.994777573192533-1.60018445760413j</v>
      </c>
      <c r="AG174" s="159">
        <f t="shared" si="78"/>
        <v>5.5024948231146409</v>
      </c>
      <c r="AH174" s="159">
        <f t="shared" si="79"/>
        <v>58.132258006396142</v>
      </c>
      <c r="AJ174" s="159" t="str">
        <f t="shared" si="80"/>
        <v>114615.998019455-70108.4351991146j</v>
      </c>
      <c r="AK174" s="159" t="str">
        <f t="shared" si="81"/>
        <v>30000-0.0000896235985828857j</v>
      </c>
      <c r="AL174" s="159" t="str">
        <f t="shared" si="95"/>
        <v>10000-223155.511675908j</v>
      </c>
      <c r="AM174" s="159" t="str">
        <f t="shared" si="96"/>
        <v>962.220103854369-69284.8959091907j</v>
      </c>
      <c r="AN174" s="159" t="str">
        <f t="shared" si="97"/>
        <v>10962.2201038544-69284.8959091907j</v>
      </c>
      <c r="AO174" s="159" t="str">
        <f t="shared" si="98"/>
        <v>24309.3100320857-9625.42703697601j</v>
      </c>
      <c r="AP174" s="159" t="str">
        <f t="shared" si="99"/>
        <v>0.16796946751719+0.0814299705120101j</v>
      </c>
      <c r="AQ174" s="159" t="str">
        <f t="shared" si="82"/>
        <v>1+9.94821944270031j</v>
      </c>
      <c r="AR174" s="159">
        <f t="shared" si="83"/>
        <v>-1.4759920432450527E-5</v>
      </c>
      <c r="AS174" s="159" t="str">
        <f t="shared" si="84"/>
        <v>0.000271359344335975j</v>
      </c>
      <c r="AT174" s="159" t="str">
        <f t="shared" si="85"/>
        <v>-0.0000147599204324505+0.000271359344335975j</v>
      </c>
      <c r="AU174" s="159" t="str">
        <f t="shared" si="86"/>
        <v>5.45290338172127-0.84936975582709j</v>
      </c>
      <c r="AW174" s="159" t="str">
        <f t="shared" si="100"/>
        <v>1.00134213814219+0.232079447874948j</v>
      </c>
      <c r="AX174" s="159">
        <f t="shared" si="87"/>
        <v>0.23888799725896942</v>
      </c>
      <c r="AY174" s="159">
        <f t="shared" si="88"/>
        <v>-166.95104245308804</v>
      </c>
      <c r="AZ174" s="159" t="str">
        <f t="shared" si="89"/>
        <v>-2.87233356139802-0.845977499847847j</v>
      </c>
      <c r="BA174" s="159">
        <f t="shared" si="90"/>
        <v>9.5259766977471436</v>
      </c>
      <c r="BB174" s="159">
        <f t="shared" si="91"/>
        <v>16.411082786556904</v>
      </c>
      <c r="BD174" s="159" t="str">
        <f t="shared" si="92"/>
        <v>-0.624742776697674-1.83319955614412j</v>
      </c>
      <c r="BE174" s="159">
        <f t="shared" si="93"/>
        <v>5.7413828203735999</v>
      </c>
      <c r="BF174" s="159">
        <f t="shared" si="94"/>
        <v>71.181215553307965</v>
      </c>
      <c r="BH174" s="159">
        <f t="shared" si="101"/>
        <v>-4.7413828203735999</v>
      </c>
      <c r="BI174" s="169">
        <f t="shared" si="102"/>
        <v>-71.181215553307965</v>
      </c>
      <c r="BN174" s="165"/>
      <c r="BO174" s="165"/>
      <c r="BP174" s="165"/>
    </row>
    <row r="175" spans="1:68" s="159" customFormat="1">
      <c r="A175" s="159">
        <v>111</v>
      </c>
      <c r="B175" s="159">
        <f t="shared" si="52"/>
        <v>16595.869074375623</v>
      </c>
      <c r="C175" s="159" t="str">
        <f t="shared" si="53"/>
        <v>104274.920727993j</v>
      </c>
      <c r="D175" s="159">
        <f t="shared" si="54"/>
        <v>0.99559323407465894</v>
      </c>
      <c r="E175" s="159" t="str">
        <f t="shared" si="55"/>
        <v>-0.104274920727993j</v>
      </c>
      <c r="F175" s="159" t="str">
        <f t="shared" si="56"/>
        <v>0.995593234074659-0.104274920727993j</v>
      </c>
      <c r="G175" s="159">
        <f t="shared" si="57"/>
        <v>9.0202459831120272E-3</v>
      </c>
      <c r="H175" s="159">
        <f t="shared" si="58"/>
        <v>-5.9791580274393175</v>
      </c>
      <c r="J175" s="159">
        <f t="shared" si="59"/>
        <v>6.3936063936063938</v>
      </c>
      <c r="K175" s="159" t="str">
        <f t="shared" si="60"/>
        <v>1+25.5510052005838j</v>
      </c>
      <c r="L175" s="159">
        <f t="shared" si="61"/>
        <v>-5.3880016986487203</v>
      </c>
      <c r="M175" s="159" t="str">
        <f t="shared" si="62"/>
        <v>0.279203131774825j</v>
      </c>
      <c r="N175" s="159" t="str">
        <f t="shared" si="63"/>
        <v>-5.38800169864872+0.279203131774825j</v>
      </c>
      <c r="O175" s="159" t="str">
        <f t="shared" si="64"/>
        <v>0.0599796613388727-4.73909625858118j</v>
      </c>
      <c r="P175" s="159" t="str">
        <f t="shared" si="65"/>
        <v>0.383486346222563-30.2999161387808j</v>
      </c>
      <c r="R175" s="159">
        <f t="shared" si="66"/>
        <v>31.968031968031973</v>
      </c>
      <c r="S175" s="159" t="str">
        <f t="shared" si="67"/>
        <v>1+0.00364962222547975j</v>
      </c>
      <c r="T175" s="159" t="str">
        <f t="shared" si="68"/>
        <v>-5.38800169864872+0.279203131774825j</v>
      </c>
      <c r="U175" s="159" t="str">
        <f t="shared" si="69"/>
        <v>-0.185065517746174-0.0102673490948629j</v>
      </c>
      <c r="V175" s="159" t="str">
        <f t="shared" si="70"/>
        <v>-5.91618038749008-0.328226944091521j</v>
      </c>
      <c r="X175" s="159" t="str">
        <f t="shared" si="71"/>
        <v>-0.108882413485203-1.18404218291767j</v>
      </c>
      <c r="Y175" s="159">
        <f t="shared" si="72"/>
        <v>1.5039143953203364</v>
      </c>
      <c r="Z175" s="159">
        <f t="shared" si="73"/>
        <v>84.745958700998301</v>
      </c>
      <c r="AB175" s="159" t="str">
        <f t="shared" si="74"/>
        <v>-2.605672929967-0.144561525695451j</v>
      </c>
      <c r="AC175" s="159">
        <f t="shared" si="75"/>
        <v>8.3317449855684895</v>
      </c>
      <c r="AD175" s="159">
        <f t="shared" si="76"/>
        <v>3.1754879163054852</v>
      </c>
      <c r="AF175" s="159" t="str">
        <f t="shared" si="77"/>
        <v>-0.979393689099422-1.46356102383001j</v>
      </c>
      <c r="AG175" s="159">
        <f t="shared" si="78"/>
        <v>4.9153297783945575</v>
      </c>
      <c r="AH175" s="159">
        <f t="shared" si="79"/>
        <v>56.210139189664631</v>
      </c>
      <c r="AJ175" s="159" t="str">
        <f t="shared" si="80"/>
        <v>111682.215314001-71533.4306077394j</v>
      </c>
      <c r="AK175" s="159" t="str">
        <f t="shared" si="81"/>
        <v>30000-0.0000938474286551937j</v>
      </c>
      <c r="AL175" s="159" t="str">
        <f t="shared" si="95"/>
        <v>10000-213111.859180312j</v>
      </c>
      <c r="AM175" s="159" t="str">
        <f t="shared" si="96"/>
        <v>962.131531582202-66169.2989077752j</v>
      </c>
      <c r="AN175" s="159" t="str">
        <f t="shared" si="97"/>
        <v>10962.1315315822-66169.2989077752j</v>
      </c>
      <c r="AO175" s="159" t="str">
        <f t="shared" si="98"/>
        <v>23912.77065815-9833.17228780221j</v>
      </c>
      <c r="AP175" s="159" t="str">
        <f t="shared" si="99"/>
        <v>0.168730356182757+0.0851896698583955j</v>
      </c>
      <c r="AQ175" s="159" t="str">
        <f t="shared" si="82"/>
        <v>1+10.4170645807265j</v>
      </c>
      <c r="AR175" s="159">
        <f t="shared" si="83"/>
        <v>-1.6193578750604558E-5</v>
      </c>
      <c r="AS175" s="159" t="str">
        <f t="shared" si="84"/>
        <v>0.000284148116234574j</v>
      </c>
      <c r="AT175" s="159" t="str">
        <f t="shared" si="85"/>
        <v>-0.0000161935787506046+0.000284148116234574j</v>
      </c>
      <c r="AU175" s="159" t="str">
        <f t="shared" si="86"/>
        <v>5.45131307546385-0.83856360105171j</v>
      </c>
      <c r="AW175" s="159" t="str">
        <f t="shared" si="100"/>
        <v>1.00955516437358+0.249767547904499j</v>
      </c>
      <c r="AX175" s="159">
        <f t="shared" si="87"/>
        <v>0.34060839473652571</v>
      </c>
      <c r="AY175" s="159">
        <f t="shared" si="88"/>
        <v>-166.10385567907477</v>
      </c>
      <c r="AZ175" s="159" t="str">
        <f t="shared" si="89"/>
        <v>-2.59446378532234-0.796755373194556j</v>
      </c>
      <c r="BA175" s="159">
        <f t="shared" si="90"/>
        <v>8.6723533803050277</v>
      </c>
      <c r="BB175" s="159">
        <f t="shared" si="91"/>
        <v>17.071632237230688</v>
      </c>
      <c r="BD175" s="159" t="str">
        <f t="shared" si="92"/>
        <v>-0.623201908654596-1.72216635014297j</v>
      </c>
      <c r="BE175" s="159">
        <f t="shared" si="93"/>
        <v>5.2559381731310664</v>
      </c>
      <c r="BF175" s="159">
        <f t="shared" si="94"/>
        <v>70.106283510589762</v>
      </c>
      <c r="BH175" s="159">
        <f t="shared" si="101"/>
        <v>-4.2559381731310664</v>
      </c>
      <c r="BI175" s="169">
        <f t="shared" si="102"/>
        <v>-70.106283510589762</v>
      </c>
      <c r="BN175" s="165"/>
      <c r="BO175" s="165"/>
      <c r="BP175" s="165"/>
    </row>
    <row r="176" spans="1:68" s="159" customFormat="1">
      <c r="A176" s="159">
        <v>112</v>
      </c>
      <c r="B176" s="159">
        <f t="shared" si="52"/>
        <v>17378.008287493769</v>
      </c>
      <c r="C176" s="159" t="str">
        <f t="shared" si="53"/>
        <v>109189.246340026j</v>
      </c>
      <c r="D176" s="159">
        <f t="shared" si="54"/>
        <v>0.99516807724735679</v>
      </c>
      <c r="E176" s="159" t="str">
        <f t="shared" si="55"/>
        <v>-0.109189246340026j</v>
      </c>
      <c r="F176" s="159" t="str">
        <f t="shared" si="56"/>
        <v>0.995168077247357-0.109189246340026j</v>
      </c>
      <c r="G176" s="159">
        <f t="shared" si="57"/>
        <v>9.8984144300547795E-3</v>
      </c>
      <c r="H176" s="159">
        <f t="shared" si="58"/>
        <v>-6.2614131322408664</v>
      </c>
      <c r="J176" s="159">
        <f t="shared" si="59"/>
        <v>6.3936063936063938</v>
      </c>
      <c r="K176" s="159" t="str">
        <f t="shared" si="60"/>
        <v>1+26.7551869769283j</v>
      </c>
      <c r="L176" s="159">
        <f t="shared" si="61"/>
        <v>-6.004304579493982</v>
      </c>
      <c r="M176" s="159" t="str">
        <f t="shared" si="62"/>
        <v>0.292361569986636j</v>
      </c>
      <c r="N176" s="159" t="str">
        <f t="shared" si="63"/>
        <v>-6.00430457949398+0.292361569986636j</v>
      </c>
      <c r="O176" s="159" t="str">
        <f t="shared" si="64"/>
        <v>0.050305127886259-4.4535515040469j</v>
      </c>
      <c r="P176" s="159" t="str">
        <f t="shared" si="65"/>
        <v>0.321631187284773-28.4742553705296j</v>
      </c>
      <c r="R176" s="159">
        <f t="shared" si="66"/>
        <v>31.968031968031973</v>
      </c>
      <c r="S176" s="159" t="str">
        <f t="shared" si="67"/>
        <v>1+0.00382162362190091j</v>
      </c>
      <c r="T176" s="159" t="str">
        <f t="shared" si="68"/>
        <v>-6.00430457949398+0.292361569986636j</v>
      </c>
      <c r="U176" s="159" t="str">
        <f t="shared" si="69"/>
        <v>-0.166122328069223-0.00872530824718241j</v>
      </c>
      <c r="V176" s="159" t="str">
        <f t="shared" si="70"/>
        <v>-5.31060389432082-0.27893093297686j</v>
      </c>
      <c r="X176" s="159" t="str">
        <f t="shared" si="71"/>
        <v>-0.109324589317509-1.11212912949661j</v>
      </c>
      <c r="Y176" s="159">
        <f t="shared" si="72"/>
        <v>0.96487001062056832</v>
      </c>
      <c r="Z176" s="159">
        <f t="shared" si="73"/>
        <v>84.385744297271131</v>
      </c>
      <c r="AB176" s="159" t="str">
        <f t="shared" si="74"/>
        <v>-2.33895789223555-0.122850003513261j</v>
      </c>
      <c r="AC176" s="159">
        <f t="shared" si="75"/>
        <v>7.3924124830244731</v>
      </c>
      <c r="AD176" s="159">
        <f t="shared" si="76"/>
        <v>3.0066059679543571</v>
      </c>
      <c r="AF176" s="159" t="str">
        <f t="shared" si="77"/>
        <v>-0.958866420289718-1.33520389869339j</v>
      </c>
      <c r="AG176" s="159">
        <f t="shared" si="78"/>
        <v>4.317165676082527</v>
      </c>
      <c r="AH176" s="159">
        <f t="shared" si="79"/>
        <v>54.316272937060617</v>
      </c>
      <c r="AJ176" s="159" t="str">
        <f t="shared" si="80"/>
        <v>108633.297852097-72859.8037979985j</v>
      </c>
      <c r="AK176" s="159" t="str">
        <f t="shared" si="81"/>
        <v>30000-0.0000982703217060234j</v>
      </c>
      <c r="AL176" s="159" t="str">
        <f t="shared" si="95"/>
        <v>10000-203520.245510442j</v>
      </c>
      <c r="AM176" s="159" t="str">
        <f t="shared" si="96"/>
        <v>962.034432756908-63194.0553077921j</v>
      </c>
      <c r="AN176" s="159" t="str">
        <f t="shared" si="97"/>
        <v>10962.0344327569-63194.0553077921j</v>
      </c>
      <c r="AO176" s="159" t="str">
        <f t="shared" si="98"/>
        <v>23499.668248268-10028.3672111114j</v>
      </c>
      <c r="AP176" s="159" t="str">
        <f t="shared" si="99"/>
        <v>0.169563056083069+0.0891151772871658j</v>
      </c>
      <c r="AQ176" s="159" t="str">
        <f t="shared" si="82"/>
        <v>1+10.9080057093686j</v>
      </c>
      <c r="AR176" s="159">
        <f t="shared" si="83"/>
        <v>-1.7765553837179897E-5</v>
      </c>
      <c r="AS176" s="159" t="str">
        <f t="shared" si="84"/>
        <v>0.000297539604384107j</v>
      </c>
      <c r="AT176" s="159" t="str">
        <f t="shared" si="85"/>
        <v>-0.0000177655538371799+0.000297539604384107j</v>
      </c>
      <c r="AU176" s="159" t="str">
        <f t="shared" si="86"/>
        <v>5.44957367582779-0.829518796459018j</v>
      </c>
      <c r="AW176" s="159" t="str">
        <f t="shared" si="100"/>
        <v>1.01852413890347+0.267726042522671j</v>
      </c>
      <c r="AX176" s="159">
        <f t="shared" si="87"/>
        <v>0.44958431385537007</v>
      </c>
      <c r="AY176" s="159">
        <f t="shared" si="88"/>
        <v>-165.27257003953892</v>
      </c>
      <c r="AZ176" s="159" t="str">
        <f t="shared" si="89"/>
        <v>-2.34939492785619-0.751325634158025j</v>
      </c>
      <c r="BA176" s="159">
        <f t="shared" si="90"/>
        <v>7.8419967968798518</v>
      </c>
      <c r="BB176" s="159">
        <f t="shared" si="91"/>
        <v>17.734035928415437</v>
      </c>
      <c r="BD176" s="159" t="str">
        <f t="shared" si="92"/>
        <v>-0.619159739291016-1.61665091318929j</v>
      </c>
      <c r="BE176" s="159">
        <f t="shared" si="93"/>
        <v>4.7667499899379093</v>
      </c>
      <c r="BF176" s="159">
        <f t="shared" si="94"/>
        <v>69.043702897521698</v>
      </c>
      <c r="BH176" s="159">
        <f t="shared" si="101"/>
        <v>-3.7667499899379093</v>
      </c>
      <c r="BI176" s="169">
        <f t="shared" si="102"/>
        <v>-69.043702897521698</v>
      </c>
      <c r="BN176" s="165"/>
      <c r="BO176" s="165"/>
      <c r="BP176" s="165"/>
    </row>
    <row r="177" spans="1:68" s="159" customFormat="1">
      <c r="A177" s="159">
        <v>113</v>
      </c>
      <c r="B177" s="159">
        <f t="shared" si="52"/>
        <v>18197.008586099848</v>
      </c>
      <c r="C177" s="159" t="str">
        <f t="shared" si="53"/>
        <v>114335.176982803j</v>
      </c>
      <c r="D177" s="159">
        <f t="shared" si="54"/>
        <v>0.99470190205627851</v>
      </c>
      <c r="E177" s="159" t="str">
        <f t="shared" si="55"/>
        <v>-0.114335176982803j</v>
      </c>
      <c r="F177" s="159" t="str">
        <f t="shared" si="56"/>
        <v>0.994701902056279-0.114335176982803j</v>
      </c>
      <c r="G177" s="159">
        <f t="shared" si="57"/>
        <v>1.0862902993041993E-2</v>
      </c>
      <c r="H177" s="159">
        <f t="shared" si="58"/>
        <v>-6.5570388804482063</v>
      </c>
      <c r="J177" s="159">
        <f t="shared" si="59"/>
        <v>6.3936063936063938</v>
      </c>
      <c r="K177" s="159" t="str">
        <f t="shared" si="60"/>
        <v>1+28.0161200919811j</v>
      </c>
      <c r="L177" s="159">
        <f t="shared" si="61"/>
        <v>-6.6800672505609517</v>
      </c>
      <c r="M177" s="159" t="str">
        <f t="shared" si="62"/>
        <v>0.306140146285987j</v>
      </c>
      <c r="N177" s="159" t="str">
        <f t="shared" si="63"/>
        <v>-6.68006725056095+0.306140146285987j</v>
      </c>
      <c r="O177" s="159" t="str">
        <f t="shared" si="64"/>
        <v>0.0424176709826609-4.19204377585118j</v>
      </c>
      <c r="P177" s="159" t="str">
        <f t="shared" si="65"/>
        <v>0.271201892396633-26.80227788756j</v>
      </c>
      <c r="R177" s="159">
        <f t="shared" si="66"/>
        <v>31.968031968031973</v>
      </c>
      <c r="S177" s="159" t="str">
        <f t="shared" si="67"/>
        <v>1+0.0040017311943981j</v>
      </c>
      <c r="T177" s="159" t="str">
        <f t="shared" si="68"/>
        <v>-6.68006725056095+0.306140146285987j</v>
      </c>
      <c r="U177" s="159" t="str">
        <f t="shared" si="69"/>
        <v>-0.14935794292593-0.00744396602991394j</v>
      </c>
      <c r="V177" s="159" t="str">
        <f t="shared" si="70"/>
        <v>-4.77467949413562-0.237968944013233j</v>
      </c>
      <c r="X177" s="159" t="str">
        <f t="shared" si="71"/>
        <v>-0.109546952273567-1.04625604018499j</v>
      </c>
      <c r="Y177" s="159">
        <f t="shared" si="72"/>
        <v>0.44011165999614588</v>
      </c>
      <c r="Z177" s="159">
        <f t="shared" si="73"/>
        <v>84.022695185826322</v>
      </c>
      <c r="AB177" s="159" t="str">
        <f t="shared" si="74"/>
        <v>-2.10291983886176-0.104809048233091j</v>
      </c>
      <c r="AC177" s="159">
        <f t="shared" si="75"/>
        <v>6.4672288744549222</v>
      </c>
      <c r="AD177" s="159">
        <f t="shared" si="76"/>
        <v>2.8532477382149182</v>
      </c>
      <c r="AF177" s="159" t="str">
        <f t="shared" si="77"/>
        <v>-0.933954861225847-1.21507244633877j</v>
      </c>
      <c r="AG177" s="159">
        <f t="shared" si="78"/>
        <v>3.7082250579329945</v>
      </c>
      <c r="AH177" s="159">
        <f t="shared" si="79"/>
        <v>52.452632792876585</v>
      </c>
      <c r="AJ177" s="159" t="str">
        <f t="shared" si="80"/>
        <v>105476.001799688-74076.1994692161j</v>
      </c>
      <c r="AK177" s="159" t="str">
        <f t="shared" si="81"/>
        <v>30000-0.000102901659284523j</v>
      </c>
      <c r="AL177" s="159" t="str">
        <f t="shared" si="95"/>
        <v>10000-194360.325567735j</v>
      </c>
      <c r="AM177" s="159" t="str">
        <f t="shared" si="96"/>
        <v>961.927988535599-60352.854136929j</v>
      </c>
      <c r="AN177" s="159" t="str">
        <f t="shared" si="97"/>
        <v>10961.9279885356-60352.854136929j</v>
      </c>
      <c r="AO177" s="159" t="str">
        <f t="shared" si="98"/>
        <v>23070.801845239-10209.4043129803j</v>
      </c>
      <c r="AP177" s="159" t="str">
        <f t="shared" si="99"/>
        <v>0.170474178015179+0.0932126646925638j</v>
      </c>
      <c r="AQ177" s="159" t="str">
        <f t="shared" si="82"/>
        <v>1+11.422084180582j</v>
      </c>
      <c r="AR177" s="159">
        <f t="shared" si="83"/>
        <v>-1.9489190244489822E-5</v>
      </c>
      <c r="AS177" s="159" t="str">
        <f t="shared" si="84"/>
        <v>0.000311562213926368j</v>
      </c>
      <c r="AT177" s="159" t="str">
        <f t="shared" si="85"/>
        <v>-0.0000194891902444898+0.000311562213926368j</v>
      </c>
      <c r="AU177" s="159" t="str">
        <f t="shared" si="86"/>
        <v>5.44767071825907-0.822213604753845j</v>
      </c>
      <c r="AW177" s="159" t="str">
        <f t="shared" si="100"/>
        <v>1.02831465199422+0.285956011634702j</v>
      </c>
      <c r="AX177" s="159">
        <f t="shared" si="87"/>
        <v>0.56600686937051325</v>
      </c>
      <c r="AY177" s="159">
        <f t="shared" si="88"/>
        <v>-164.45969703639869</v>
      </c>
      <c r="AZ177" s="159" t="str">
        <f t="shared" si="89"/>
        <v>-2.13249250485491-0.709119249868055j</v>
      </c>
      <c r="BA177" s="159">
        <f t="shared" si="90"/>
        <v>7.0332357438254443</v>
      </c>
      <c r="BB177" s="159">
        <f t="shared" si="91"/>
        <v>18.393550701816196</v>
      </c>
      <c r="BD177" s="159" t="str">
        <f t="shared" si="92"/>
        <v>-0.612942197497514-1.5165468069676j</v>
      </c>
      <c r="BE177" s="159">
        <f t="shared" si="93"/>
        <v>4.274231927303501</v>
      </c>
      <c r="BF177" s="159">
        <f t="shared" si="94"/>
        <v>67.992935756477792</v>
      </c>
      <c r="BH177" s="159">
        <f t="shared" si="101"/>
        <v>-3.274231927303501</v>
      </c>
      <c r="BI177" s="169">
        <f t="shared" si="102"/>
        <v>-67.992935756477792</v>
      </c>
      <c r="BN177" s="165"/>
      <c r="BO177" s="165"/>
      <c r="BP177" s="165"/>
    </row>
    <row r="178" spans="1:68" s="159" customFormat="1">
      <c r="A178" s="159">
        <v>114</v>
      </c>
      <c r="B178" s="159">
        <f t="shared" si="52"/>
        <v>19054.607179632498</v>
      </c>
      <c r="C178" s="159" t="str">
        <f t="shared" si="53"/>
        <v>119723.627865146j</v>
      </c>
      <c r="D178" s="159">
        <f t="shared" si="54"/>
        <v>0.99419075112367827</v>
      </c>
      <c r="E178" s="159" t="str">
        <f t="shared" si="55"/>
        <v>-0.119723627865146j</v>
      </c>
      <c r="F178" s="159" t="str">
        <f t="shared" si="56"/>
        <v>0.994190751123678-0.119723627865146j</v>
      </c>
      <c r="G178" s="159">
        <f t="shared" si="57"/>
        <v>1.1922361160379006E-2</v>
      </c>
      <c r="H178" s="159">
        <f t="shared" si="58"/>
        <v>-6.866675364441539</v>
      </c>
      <c r="J178" s="159">
        <f t="shared" si="59"/>
        <v>6.3936063936063938</v>
      </c>
      <c r="K178" s="159" t="str">
        <f t="shared" si="60"/>
        <v>1+29.3364791539361j</v>
      </c>
      <c r="L178" s="159">
        <f t="shared" si="61"/>
        <v>-7.4210262851535553</v>
      </c>
      <c r="M178" s="159" t="str">
        <f t="shared" si="62"/>
        <v>0.320568086880538j</v>
      </c>
      <c r="N178" s="159" t="str">
        <f t="shared" si="63"/>
        <v>-7.42102628515356+0.320568086880538j</v>
      </c>
      <c r="O178" s="159" t="str">
        <f t="shared" si="64"/>
        <v>0.0359462521011455-3.95160383562268j</v>
      </c>
      <c r="P178" s="159" t="str">
        <f t="shared" si="65"/>
        <v>0.229826187260071-25.2649995484367j</v>
      </c>
      <c r="R178" s="159">
        <f t="shared" si="66"/>
        <v>31.968031968031973</v>
      </c>
      <c r="S178" s="159" t="str">
        <f t="shared" si="67"/>
        <v>1+0.00419032697528011j</v>
      </c>
      <c r="T178" s="159" t="str">
        <f t="shared" si="68"/>
        <v>-7.42102628515356+0.320568086880538j</v>
      </c>
      <c r="U178" s="159" t="str">
        <f t="shared" si="69"/>
        <v>-0.134476925336887-0.00637369224183043j</v>
      </c>
      <c r="V178" s="159" t="str">
        <f t="shared" si="70"/>
        <v>-4.29896264813225-0.203754397341233j</v>
      </c>
      <c r="X178" s="159" t="str">
        <f t="shared" si="71"/>
        <v>-0.109611558575072-0.985673314590355j</v>
      </c>
      <c r="Y178" s="159">
        <f t="shared" si="72"/>
        <v>-7.1962376885843754E-2</v>
      </c>
      <c r="Z178" s="159">
        <f t="shared" si="73"/>
        <v>83.654508391426873</v>
      </c>
      <c r="AB178" s="159" t="str">
        <f t="shared" si="74"/>
        <v>-1.89339909629256-0.0897398799124567j</v>
      </c>
      <c r="AC178" s="159">
        <f t="shared" si="75"/>
        <v>5.5545883494413149</v>
      </c>
      <c r="AD178" s="159">
        <f t="shared" si="76"/>
        <v>2.7135702403540733</v>
      </c>
      <c r="AF178" s="159" t="str">
        <f t="shared" si="77"/>
        <v>-0.905382938146169-1.10305978361171j</v>
      </c>
      <c r="AG178" s="159">
        <f t="shared" si="78"/>
        <v>3.0887570304794214</v>
      </c>
      <c r="AH178" s="159">
        <f t="shared" si="79"/>
        <v>50.62111522420463</v>
      </c>
      <c r="AJ178" s="159" t="str">
        <f t="shared" si="80"/>
        <v>102218.520483952-75171.7436693757j</v>
      </c>
      <c r="AK178" s="159" t="str">
        <f t="shared" si="81"/>
        <v>30000-0.000107751265078631j</v>
      </c>
      <c r="AL178" s="159" t="str">
        <f t="shared" si="95"/>
        <v>10000-185612.669933898j</v>
      </c>
      <c r="AM178" s="159" t="str">
        <f t="shared" si="96"/>
        <v>961.811301838011-57639.6687327753j</v>
      </c>
      <c r="AN178" s="159" t="str">
        <f t="shared" si="97"/>
        <v>10961.811301838-57639.6687327753j</v>
      </c>
      <c r="AO178" s="159" t="str">
        <f t="shared" si="98"/>
        <v>22627.1708822232-10374.7225332291j</v>
      </c>
      <c r="AP178" s="159" t="str">
        <f t="shared" si="99"/>
        <v>0.171470908179365+0.0974883625982165j</v>
      </c>
      <c r="AQ178" s="159" t="str">
        <f t="shared" si="82"/>
        <v>1+11.9603904237281j</v>
      </c>
      <c r="AR178" s="159">
        <f t="shared" si="83"/>
        <v>-2.1379119983184215E-5</v>
      </c>
      <c r="AS178" s="159" t="str">
        <f t="shared" si="84"/>
        <v>0.000326245688696244j</v>
      </c>
      <c r="AT178" s="159" t="str">
        <f t="shared" si="85"/>
        <v>-0.0000213791199831842+0.000326245688696244j</v>
      </c>
      <c r="AU178" s="159" t="str">
        <f t="shared" si="86"/>
        <v>5.44558841020933-0.816629605330842j</v>
      </c>
      <c r="AW178" s="159" t="str">
        <f t="shared" si="100"/>
        <v>1.03899720619589+0.304453985494472j</v>
      </c>
      <c r="AX178" s="159">
        <f t="shared" si="87"/>
        <v>0.69004467506736389</v>
      </c>
      <c r="AY178" s="159">
        <f t="shared" si="88"/>
        <v>-163.66800346646693</v>
      </c>
      <c r="AZ178" s="159" t="str">
        <f t="shared" si="89"/>
        <v>-1.93991470716465-0.669692385511298j</v>
      </c>
      <c r="BA178" s="159">
        <f t="shared" si="90"/>
        <v>6.2446330245086781</v>
      </c>
      <c r="BB178" s="159">
        <f t="shared" si="91"/>
        <v>19.045566773887117</v>
      </c>
      <c r="BD178" s="159" t="str">
        <f t="shared" si="92"/>
        <v>-0.604859395912043-1.4217234773569j</v>
      </c>
      <c r="BE178" s="159">
        <f t="shared" si="93"/>
        <v>3.7788017055467602</v>
      </c>
      <c r="BF178" s="159">
        <f t="shared" si="94"/>
        <v>66.95311175773756</v>
      </c>
      <c r="BH178" s="159">
        <f t="shared" si="101"/>
        <v>-2.7788017055467602</v>
      </c>
      <c r="BI178" s="169">
        <f t="shared" si="102"/>
        <v>-66.95311175773756</v>
      </c>
      <c r="BN178" s="165"/>
      <c r="BO178" s="165"/>
      <c r="BP178" s="165"/>
    </row>
    <row r="179" spans="1:68" s="159" customFormat="1">
      <c r="A179" s="159">
        <v>115</v>
      </c>
      <c r="B179" s="159">
        <f t="shared" si="52"/>
        <v>19952.623149688818</v>
      </c>
      <c r="C179" s="159" t="str">
        <f t="shared" si="53"/>
        <v>125366.028613816j</v>
      </c>
      <c r="D179" s="159">
        <f t="shared" si="54"/>
        <v>0.99363028527114405</v>
      </c>
      <c r="E179" s="159" t="str">
        <f t="shared" si="55"/>
        <v>-0.125366028613816j</v>
      </c>
      <c r="F179" s="159" t="str">
        <f t="shared" si="56"/>
        <v>0.993630285271144-0.125366028613816j</v>
      </c>
      <c r="G179" s="159">
        <f t="shared" si="57"/>
        <v>1.3086337503647546E-2</v>
      </c>
      <c r="H179" s="159">
        <f t="shared" si="58"/>
        <v>-7.1909942723247662</v>
      </c>
      <c r="J179" s="159">
        <f t="shared" si="59"/>
        <v>6.3936063936063938</v>
      </c>
      <c r="K179" s="159" t="str">
        <f t="shared" si="60"/>
        <v>1+30.7190648213864j</v>
      </c>
      <c r="L179" s="159">
        <f t="shared" si="61"/>
        <v>-8.2334717108193942</v>
      </c>
      <c r="M179" s="159" t="str">
        <f t="shared" si="62"/>
        <v>0.335675995366671j</v>
      </c>
      <c r="N179" s="159" t="str">
        <f t="shared" si="63"/>
        <v>-8.23347171081939+0.335675995366671j</v>
      </c>
      <c r="O179" s="159" t="str">
        <f t="shared" si="64"/>
        <v>0.0306052614281296-3.72975003113686j</v>
      </c>
      <c r="P179" s="159" t="str">
        <f t="shared" si="65"/>
        <v>0.195677995144885-23.8465536456303j</v>
      </c>
      <c r="R179" s="159">
        <f t="shared" si="66"/>
        <v>31.968031968031973</v>
      </c>
      <c r="S179" s="159" t="str">
        <f t="shared" si="67"/>
        <v>1+0.00438781100148356j</v>
      </c>
      <c r="T179" s="159" t="str">
        <f t="shared" si="68"/>
        <v>-8.23347171081939+0.335675995366671j</v>
      </c>
      <c r="U179" s="159" t="str">
        <f t="shared" si="69"/>
        <v>-0.121232213309955-0.00547552192540669j</v>
      </c>
      <c r="V179" s="159" t="str">
        <f t="shared" si="70"/>
        <v>-3.87555527064791-0.175041659953061j</v>
      </c>
      <c r="X179" s="159" t="str">
        <f t="shared" si="71"/>
        <v>-0.109564121058898-0.929754611519663j</v>
      </c>
      <c r="Y179" s="159">
        <f t="shared" si="72"/>
        <v>-0.57273878238543008</v>
      </c>
      <c r="Z179" s="159">
        <f t="shared" si="73"/>
        <v>83.279147946304576</v>
      </c>
      <c r="AB179" s="159" t="str">
        <f t="shared" si="74"/>
        <v>-1.70691709784096-0.0770938823840833j</v>
      </c>
      <c r="AC179" s="159">
        <f t="shared" si="75"/>
        <v>4.6530988467946663</v>
      </c>
      <c r="AD179" s="159">
        <f t="shared" si="76"/>
        <v>2.5860390077712623</v>
      </c>
      <c r="AF179" s="159" t="str">
        <f t="shared" si="77"/>
        <v>-0.873833721092355-0.998999293839019j</v>
      </c>
      <c r="AG179" s="159">
        <f t="shared" si="78"/>
        <v>2.4590359403694211</v>
      </c>
      <c r="AH179" s="159">
        <f t="shared" si="79"/>
        <v>48.823517799531203</v>
      </c>
      <c r="AJ179" s="159" t="str">
        <f t="shared" si="80"/>
        <v>98870.4485609352-76136.2597564837j</v>
      </c>
      <c r="AK179" s="159" t="str">
        <f t="shared" si="81"/>
        <v>30000-0.000112829425752434j</v>
      </c>
      <c r="AL179" s="159" t="str">
        <f t="shared" si="95"/>
        <v>10000-177258.723658518j</v>
      </c>
      <c r="AM179" s="159" t="str">
        <f t="shared" si="96"/>
        <v>961.683389951965-55048.743957693j</v>
      </c>
      <c r="AN179" s="159" t="str">
        <f t="shared" si="97"/>
        <v>10961.683389952-55048.743957693j</v>
      </c>
      <c r="AO179" s="159" t="str">
        <f t="shared" si="98"/>
        <v>22169.9737440983-10522.8367978708j</v>
      </c>
      <c r="AP179" s="159" t="str">
        <f t="shared" si="99"/>
        <v>0.172561051634316+0.101948531291955j</v>
      </c>
      <c r="AQ179" s="159" t="str">
        <f t="shared" si="82"/>
        <v>1+12.5240662585202j</v>
      </c>
      <c r="AR179" s="159">
        <f t="shared" si="83"/>
        <v>-2.3451386733904554E-5</v>
      </c>
      <c r="AS179" s="159" t="str">
        <f t="shared" si="84"/>
        <v>0.000341621174312362j</v>
      </c>
      <c r="AT179" s="159" t="str">
        <f t="shared" si="85"/>
        <v>-0.0000234513867339046+0.000341621174312362j</v>
      </c>
      <c r="AU179" s="159" t="str">
        <f t="shared" si="86"/>
        <v>5.44330950914777-0.812751601156584j</v>
      </c>
      <c r="AW179" s="159" t="str">
        <f t="shared" si="100"/>
        <v>1.05064742002471+0.323211267296853j</v>
      </c>
      <c r="AX179" s="159">
        <f t="shared" si="87"/>
        <v>0.82183949562070691</v>
      </c>
      <c r="AY179" s="159">
        <f t="shared" si="88"/>
        <v>-162.90050233697184</v>
      </c>
      <c r="AZ179" s="159" t="str">
        <f t="shared" si="89"/>
        <v>-1.76845043361648-0.63269332699037j</v>
      </c>
      <c r="BA179" s="159">
        <f t="shared" si="90"/>
        <v>5.4749383424153919</v>
      </c>
      <c r="BB179" s="159">
        <f t="shared" si="91"/>
        <v>19.685536670799422</v>
      </c>
      <c r="BD179" s="159" t="str">
        <f t="shared" si="92"/>
        <v>-0.595203316805905-1.33202893507946j</v>
      </c>
      <c r="BE179" s="159">
        <f t="shared" si="93"/>
        <v>3.2808754359901466</v>
      </c>
      <c r="BF179" s="159">
        <f t="shared" si="94"/>
        <v>65.923015462559377</v>
      </c>
      <c r="BH179" s="159">
        <f t="shared" si="101"/>
        <v>-2.2808754359901466</v>
      </c>
      <c r="BI179" s="169">
        <f t="shared" si="102"/>
        <v>-65.923015462559377</v>
      </c>
      <c r="BN179" s="165"/>
      <c r="BO179" s="165"/>
      <c r="BP179" s="165"/>
    </row>
    <row r="180" spans="1:68" s="159" customFormat="1">
      <c r="A180" s="159">
        <v>116</v>
      </c>
      <c r="B180" s="159">
        <f t="shared" si="52"/>
        <v>20892.961308540394</v>
      </c>
      <c r="C180" s="159" t="str">
        <f t="shared" si="53"/>
        <v>131274.347517293j</v>
      </c>
      <c r="D180" s="159">
        <f t="shared" si="54"/>
        <v>0.99301574668415726</v>
      </c>
      <c r="E180" s="159" t="str">
        <f t="shared" si="55"/>
        <v>-0.131274347517293j</v>
      </c>
      <c r="F180" s="159" t="str">
        <f t="shared" si="56"/>
        <v>0.993015746684157-0.131274347517293j</v>
      </c>
      <c r="G180" s="159">
        <f t="shared" si="57"/>
        <v>1.4365379348041421E-2</v>
      </c>
      <c r="H180" s="159">
        <f t="shared" si="58"/>
        <v>-7.5307005769330457</v>
      </c>
      <c r="J180" s="159">
        <f t="shared" si="59"/>
        <v>6.3936063936063938</v>
      </c>
      <c r="K180" s="159" t="str">
        <f t="shared" si="60"/>
        <v>1+32.1668097438999j</v>
      </c>
      <c r="L180" s="159">
        <f t="shared" si="61"/>
        <v>-9.1243004056184436</v>
      </c>
      <c r="M180" s="159" t="str">
        <f t="shared" si="62"/>
        <v>0.351495917643843j</v>
      </c>
      <c r="N180" s="159" t="str">
        <f t="shared" si="63"/>
        <v>-9.12430040561844+0.351495917643843j</v>
      </c>
      <c r="O180" s="159" t="str">
        <f t="shared" si="64"/>
        <v>0.0261728944000574-3.52439186006675j</v>
      </c>
      <c r="P180" s="159" t="str">
        <f t="shared" si="65"/>
        <v>0.167339184975392-22.5335743300971j</v>
      </c>
      <c r="R180" s="159">
        <f t="shared" si="66"/>
        <v>31.968031968031973</v>
      </c>
      <c r="S180" s="159" t="str">
        <f t="shared" si="67"/>
        <v>1+0.00459460216310525j</v>
      </c>
      <c r="T180" s="159" t="str">
        <f t="shared" si="68"/>
        <v>-9.12430040561844+0.351495917643843j</v>
      </c>
      <c r="U180" s="159" t="str">
        <f t="shared" si="69"/>
        <v>-0.109415669494418-0.00471858240113951j</v>
      </c>
      <c r="V180" s="159" t="str">
        <f t="shared" si="70"/>
        <v>-3.49780362020118-0.150843793043421j</v>
      </c>
      <c r="X180" s="159" t="str">
        <f t="shared" si="71"/>
        <v>-0.109438438287218-0.877972416571486j</v>
      </c>
      <c r="Y180" s="159">
        <f t="shared" si="72"/>
        <v>-1.0634233908229427</v>
      </c>
      <c r="Z180" s="159">
        <f t="shared" si="73"/>
        <v>82.894782422771712</v>
      </c>
      <c r="AB180" s="159" t="str">
        <f t="shared" si="74"/>
        <v>-1.54054332534736-0.0664363765881616j</v>
      </c>
      <c r="AC180" s="159">
        <f t="shared" si="75"/>
        <v>3.7615477998363192</v>
      </c>
      <c r="AD180" s="159">
        <f t="shared" si="76"/>
        <v>2.4693669906124001</v>
      </c>
      <c r="AF180" s="159" t="str">
        <f t="shared" si="77"/>
        <v>-0.839944740468498-0.902671667770748j</v>
      </c>
      <c r="AG180" s="159">
        <f t="shared" si="78"/>
        <v>1.8193595336877908</v>
      </c>
      <c r="AH180" s="159">
        <f t="shared" si="79"/>
        <v>47.06151918545433</v>
      </c>
      <c r="AJ180" s="159" t="str">
        <f t="shared" si="80"/>
        <v>95442.7080171772-76960.4833603146j</v>
      </c>
      <c r="AK180" s="159" t="str">
        <f t="shared" si="81"/>
        <v>30000-0.000118146912765564j</v>
      </c>
      <c r="AL180" s="159" t="str">
        <f t="shared" si="95"/>
        <v>10000-169280.766901506j</v>
      </c>
      <c r="AM180" s="159" t="str">
        <f t="shared" si="96"/>
        <v>961.543176456296-52574.5839893602j</v>
      </c>
      <c r="AN180" s="159" t="str">
        <f t="shared" si="97"/>
        <v>10961.5431764563-52574.5839893602j</v>
      </c>
      <c r="AO180" s="159" t="str">
        <f t="shared" si="98"/>
        <v>21700.6012132965-10652.3681352598j</v>
      </c>
      <c r="AP180" s="159" t="str">
        <f t="shared" si="99"/>
        <v>0.173753077678378+0.106599426600554j</v>
      </c>
      <c r="AQ180" s="159" t="str">
        <f t="shared" si="82"/>
        <v>1+13.1143073169776j</v>
      </c>
      <c r="AR180" s="159">
        <f t="shared" si="83"/>
        <v>-2.5723582042662366E-5</v>
      </c>
      <c r="AS180" s="159" t="str">
        <f t="shared" si="84"/>
        <v>0.000357721284241148j</v>
      </c>
      <c r="AT180" s="159" t="str">
        <f t="shared" si="85"/>
        <v>-0.0000257235820426624+0.000357721284241148j</v>
      </c>
      <c r="AU180" s="159" t="str">
        <f t="shared" si="86"/>
        <v>5.44081519065907-0.810567524800722j</v>
      </c>
      <c r="AW180" s="159" t="str">
        <f t="shared" si="100"/>
        <v>1.06334620202194+0.342213167285575j</v>
      </c>
      <c r="AX180" s="159">
        <f t="shared" si="87"/>
        <v>0.96150201016998771</v>
      </c>
      <c r="AY180" s="159">
        <f t="shared" si="88"/>
        <v>-162.16044002037242</v>
      </c>
      <c r="AZ180" s="159" t="str">
        <f t="shared" si="89"/>
        <v>-1.61539549120315-0.597839079428893j</v>
      </c>
      <c r="BA180" s="159">
        <f t="shared" si="90"/>
        <v>4.7230498100062936</v>
      </c>
      <c r="BB180" s="159">
        <f t="shared" si="91"/>
        <v>20.308926970240009</v>
      </c>
      <c r="BD180" s="159" t="str">
        <f t="shared" si="92"/>
        <v>-0.5842459192387-1.24729263957742j</v>
      </c>
      <c r="BE180" s="159">
        <f t="shared" si="93"/>
        <v>2.780861543857776</v>
      </c>
      <c r="BF180" s="159">
        <f t="shared" si="94"/>
        <v>64.901079165081953</v>
      </c>
      <c r="BH180" s="159">
        <f t="shared" si="101"/>
        <v>-1.780861543857776</v>
      </c>
      <c r="BI180" s="169">
        <f t="shared" si="102"/>
        <v>-64.901079165081953</v>
      </c>
      <c r="BN180" s="165"/>
      <c r="BO180" s="165"/>
      <c r="BP180" s="165"/>
    </row>
    <row r="181" spans="1:68" s="159" customFormat="1">
      <c r="A181" s="159">
        <v>117</v>
      </c>
      <c r="B181" s="159">
        <f t="shared" si="52"/>
        <v>21877.616239495524</v>
      </c>
      <c r="C181" s="159" t="str">
        <f t="shared" si="53"/>
        <v>137461.116912112j</v>
      </c>
      <c r="D181" s="159">
        <f t="shared" si="54"/>
        <v>0.99234191852283782</v>
      </c>
      <c r="E181" s="159" t="str">
        <f t="shared" si="55"/>
        <v>-0.137461116912112j</v>
      </c>
      <c r="F181" s="159" t="str">
        <f t="shared" si="56"/>
        <v>0.992341918522838-0.137461116912112j</v>
      </c>
      <c r="G181" s="159">
        <f t="shared" si="57"/>
        <v>1.5771144629746114E-2</v>
      </c>
      <c r="H181" s="159">
        <f t="shared" si="58"/>
        <v>-7.8865343310160654</v>
      </c>
      <c r="J181" s="159">
        <f t="shared" si="59"/>
        <v>6.3936063936063938</v>
      </c>
      <c r="K181" s="159" t="str">
        <f t="shared" si="60"/>
        <v>1+33.6827847825594j</v>
      </c>
      <c r="L181" s="159">
        <f t="shared" si="61"/>
        <v>-10.101074645964182</v>
      </c>
      <c r="M181" s="159" t="str">
        <f t="shared" si="62"/>
        <v>0.368061409888215j</v>
      </c>
      <c r="N181" s="159" t="str">
        <f t="shared" si="63"/>
        <v>-10.1010746459642+0.368061409888215j</v>
      </c>
      <c r="O181" s="159" t="str">
        <f t="shared" si="64"/>
        <v>0.0224755019215973-3.33375542681378j</v>
      </c>
      <c r="P181" s="159" t="str">
        <f t="shared" si="65"/>
        <v>0.143699512785437-21.3147200115966j</v>
      </c>
      <c r="R181" s="159">
        <f t="shared" si="66"/>
        <v>31.968031968031973</v>
      </c>
      <c r="S181" s="159" t="str">
        <f t="shared" si="67"/>
        <v>1+0.00481113909192392j</v>
      </c>
      <c r="T181" s="159" t="str">
        <f t="shared" si="68"/>
        <v>-10.1010746459642+0.368061409888215j</v>
      </c>
      <c r="U181" s="159" t="str">
        <f t="shared" si="69"/>
        <v>-0.0988507662517921-0.00407820879766964j</v>
      </c>
      <c r="V181" s="159" t="str">
        <f t="shared" si="70"/>
        <v>-3.16006445560175-0.130372309216212j</v>
      </c>
      <c r="X181" s="159" t="str">
        <f t="shared" si="71"/>
        <v>-0.109259550347355-0.829879167042712j</v>
      </c>
      <c r="Y181" s="159">
        <f t="shared" si="72"/>
        <v>-1.5450688136463615</v>
      </c>
      <c r="Z181" s="159">
        <f t="shared" si="73"/>
        <v>82.49973632414455</v>
      </c>
      <c r="AB181" s="159" t="str">
        <f t="shared" si="74"/>
        <v>-1.39179231693537-0.0574200877411196j</v>
      </c>
      <c r="AC181" s="159">
        <f t="shared" si="75"/>
        <v>2.8788744313332932</v>
      </c>
      <c r="AD181" s="159">
        <f t="shared" si="76"/>
        <v>2.3624674325865556</v>
      </c>
      <c r="AF181" s="159" t="str">
        <f t="shared" si="77"/>
        <v>-0.804304377435963-0.813812300563161j</v>
      </c>
      <c r="AG181" s="159">
        <f t="shared" si="78"/>
        <v>1.1700466711646353</v>
      </c>
      <c r="AH181" s="159">
        <f t="shared" si="79"/>
        <v>45.336661505981908</v>
      </c>
      <c r="AJ181" s="159" t="str">
        <f t="shared" si="80"/>
        <v>91947.4353791803-77636.2685824889j</v>
      </c>
      <c r="AK181" s="159" t="str">
        <f t="shared" si="81"/>
        <v>30000-0.000123715005220901j</v>
      </c>
      <c r="AL181" s="159" t="str">
        <f t="shared" si="95"/>
        <v>10000-161661.877346962j</v>
      </c>
      <c r="AM181" s="159" t="str">
        <f t="shared" si="96"/>
        <v>961.389482401477-50211.940661069j</v>
      </c>
      <c r="AN181" s="159" t="str">
        <f t="shared" si="97"/>
        <v>10961.3894824015-50211.940661069j</v>
      </c>
      <c r="AO181" s="159" t="str">
        <f t="shared" si="98"/>
        <v>21220.6245544929-10762.0733381427j</v>
      </c>
      <c r="AP181" s="159" t="str">
        <f t="shared" si="99"/>
        <v>0.175056166936539+0.111447259624523j</v>
      </c>
      <c r="AQ181" s="159" t="str">
        <f t="shared" si="82"/>
        <v>1+13.73236557952j</v>
      </c>
      <c r="AR181" s="159">
        <f t="shared" si="83"/>
        <v>-2.8214994656093866E-5</v>
      </c>
      <c r="AS181" s="159" t="str">
        <f t="shared" si="84"/>
        <v>0.000374580168974336j</v>
      </c>
      <c r="AT181" s="159" t="str">
        <f t="shared" si="85"/>
        <v>-0.0000282149946560939+0.000374580168974336j</v>
      </c>
      <c r="AU181" s="159" t="str">
        <f t="shared" si="86"/>
        <v>5.43808490597599-0.810068342358742j</v>
      </c>
      <c r="AW181" s="159" t="str">
        <f t="shared" si="100"/>
        <v>1.07717988395047+0.361438140491002j</v>
      </c>
      <c r="AX181" s="159">
        <f t="shared" si="87"/>
        <v>1.1091077821084443</v>
      </c>
      <c r="AY181" s="159">
        <f t="shared" si="88"/>
        <v>-161.45127971085157</v>
      </c>
      <c r="AZ181" s="159" t="str">
        <f t="shared" si="89"/>
        <v>-1.47845687669961-0.564898590432187j</v>
      </c>
      <c r="BA181" s="159">
        <f t="shared" si="90"/>
        <v>3.9879822134416987</v>
      </c>
      <c r="BB181" s="159">
        <f t="shared" si="91"/>
        <v>20.911187721735047</v>
      </c>
      <c r="BD181" s="159" t="str">
        <f t="shared" si="92"/>
        <v>-0.572237691323069-1.16732851804731j</v>
      </c>
      <c r="BE181" s="159">
        <f t="shared" si="93"/>
        <v>2.2791544532730215</v>
      </c>
      <c r="BF181" s="159">
        <f t="shared" si="94"/>
        <v>63.8853817951303</v>
      </c>
      <c r="BH181" s="159">
        <f t="shared" si="101"/>
        <v>-1.2791544532730215</v>
      </c>
      <c r="BI181" s="169">
        <f t="shared" si="102"/>
        <v>-63.8853817951303</v>
      </c>
      <c r="BN181" s="165"/>
      <c r="BO181" s="165"/>
      <c r="BP181" s="165"/>
    </row>
    <row r="182" spans="1:68" s="159" customFormat="1">
      <c r="A182" s="159">
        <v>118</v>
      </c>
      <c r="B182" s="159">
        <f t="shared" si="52"/>
        <v>22908.676527677744</v>
      </c>
      <c r="C182" s="159" t="str">
        <f t="shared" si="53"/>
        <v>143939.459765635j</v>
      </c>
      <c r="D182" s="159">
        <f t="shared" si="54"/>
        <v>0.99160308063600355</v>
      </c>
      <c r="E182" s="159" t="str">
        <f t="shared" si="55"/>
        <v>-0.143939459765635j</v>
      </c>
      <c r="F182" s="159" t="str">
        <f t="shared" si="56"/>
        <v>0.991603080636004-0.143939459765635j</v>
      </c>
      <c r="G182" s="159">
        <f t="shared" si="57"/>
        <v>1.7316527621686041E-2</v>
      </c>
      <c r="H182" s="159">
        <f t="shared" si="58"/>
        <v>-8.2592725767532915</v>
      </c>
      <c r="J182" s="159">
        <f t="shared" si="59"/>
        <v>6.3936063936063938</v>
      </c>
      <c r="K182" s="159" t="str">
        <f t="shared" si="60"/>
        <v>1+35.2702055236724j</v>
      </c>
      <c r="L182" s="159">
        <f t="shared" si="61"/>
        <v>-11.172086303057728</v>
      </c>
      <c r="M182" s="159" t="str">
        <f t="shared" si="62"/>
        <v>0.385407609729815j</v>
      </c>
      <c r="N182" s="159" t="str">
        <f t="shared" si="63"/>
        <v>-11.1720863030577+0.385407609729815j</v>
      </c>
      <c r="O182" s="159" t="str">
        <f t="shared" si="64"/>
        <v>0.0193761267788166-3.15632522524586j</v>
      </c>
      <c r="P182" s="159" t="str">
        <f t="shared" si="65"/>
        <v>0.12388332805637-20.1803011404331j</v>
      </c>
      <c r="R182" s="159">
        <f t="shared" si="66"/>
        <v>31.968031968031973</v>
      </c>
      <c r="S182" s="159" t="str">
        <f t="shared" si="67"/>
        <v>1+0.00503788109179722j</v>
      </c>
      <c r="T182" s="159" t="str">
        <f t="shared" si="68"/>
        <v>-11.1720863030577+0.385407609729815j</v>
      </c>
      <c r="U182" s="159" t="str">
        <f t="shared" si="69"/>
        <v>-0.0893868639918822-0.00353454651288766j</v>
      </c>
      <c r="V182" s="159" t="str">
        <f t="shared" si="70"/>
        <v>-2.85752212561462-0.112992495916489j</v>
      </c>
      <c r="X182" s="159" t="str">
        <f t="shared" si="71"/>
        <v>-0.109046012479465-0.785092518199243j</v>
      </c>
      <c r="Y182" s="159">
        <f t="shared" si="72"/>
        <v>-2.0185969485780095</v>
      </c>
      <c r="Z182" s="159">
        <f t="shared" si="73"/>
        <v>82.092451742883199</v>
      </c>
      <c r="AB182" s="159" t="str">
        <f t="shared" si="74"/>
        <v>-1.2585431075158-0.0497654683622502j</v>
      </c>
      <c r="AC182" s="159">
        <f t="shared" si="75"/>
        <v>2.0041471479161803</v>
      </c>
      <c r="AD182" s="159">
        <f t="shared" si="76"/>
        <v>2.2644171449785802</v>
      </c>
      <c r="AF182" s="159" t="str">
        <f t="shared" si="77"/>
        <v>-0.767449359624204-0.732118861171805j</v>
      </c>
      <c r="AG182" s="159">
        <f t="shared" si="78"/>
        <v>0.51143468363508071</v>
      </c>
      <c r="AH182" s="159">
        <f t="shared" si="79"/>
        <v>43.650335484047162</v>
      </c>
      <c r="AJ182" s="159" t="str">
        <f t="shared" si="80"/>
        <v>88397.8313026614-78156.7773846606j</v>
      </c>
      <c r="AK182" s="159" t="str">
        <f t="shared" si="81"/>
        <v>30000-0.000129545513789071j</v>
      </c>
      <c r="AL182" s="159" t="str">
        <f t="shared" si="95"/>
        <v>10000-154385.894308655j</v>
      </c>
      <c r="AM182" s="159" t="str">
        <f t="shared" si="96"/>
        <v>961.221016683927-47955.8023269865j</v>
      </c>
      <c r="AN182" s="159" t="str">
        <f t="shared" si="97"/>
        <v>10961.2210166839-47955.8023269865j</v>
      </c>
      <c r="AO182" s="159" t="str">
        <f t="shared" si="98"/>
        <v>20731.7782232976-10850.8730733257j</v>
      </c>
      <c r="AP182" s="159" t="str">
        <f t="shared" si="99"/>
        <v>0.17648025984497+0.116498149696236j</v>
      </c>
      <c r="AQ182" s="159" t="str">
        <f t="shared" si="82"/>
        <v>1+14.3795520305869j</v>
      </c>
      <c r="AR182" s="159">
        <f t="shared" si="83"/>
        <v>-3.0946774264317914E-5</v>
      </c>
      <c r="AS182" s="159" t="str">
        <f t="shared" si="84"/>
        <v>0.000392233588466758j</v>
      </c>
      <c r="AT182" s="159" t="str">
        <f t="shared" si="85"/>
        <v>-0.0000309467742643179+0.000392233588466758j</v>
      </c>
      <c r="AU182" s="159" t="str">
        <f t="shared" si="86"/>
        <v>5.43509622829755-0.811247953868025j</v>
      </c>
      <c r="AW182" s="159" t="str">
        <f t="shared" si="100"/>
        <v>1.0922402995739+0.380856820264207j</v>
      </c>
      <c r="AX182" s="159">
        <f t="shared" si="87"/>
        <v>1.2646935290016068</v>
      </c>
      <c r="AY182" s="159">
        <f t="shared" si="88"/>
        <v>-160.77668137317983</v>
      </c>
      <c r="AZ182" s="159" t="str">
        <f t="shared" si="89"/>
        <v>-1.35567798274032-0.533680576166321j</v>
      </c>
      <c r="BA182" s="159">
        <f t="shared" si="90"/>
        <v>3.2688406769177907</v>
      </c>
      <c r="BB182" s="159">
        <f t="shared" si="91"/>
        <v>21.487735771798725</v>
      </c>
      <c r="BD182" s="159" t="str">
        <f t="shared" si="92"/>
        <v>-0.559406656942393-1.09193804707027j</v>
      </c>
      <c r="BE182" s="159">
        <f t="shared" si="93"/>
        <v>1.7761282126366837</v>
      </c>
      <c r="BF182" s="159">
        <f t="shared" si="94"/>
        <v>62.87365411086725</v>
      </c>
      <c r="BH182" s="159">
        <f t="shared" si="101"/>
        <v>-0.77612821263668375</v>
      </c>
      <c r="BI182" s="169">
        <f t="shared" si="102"/>
        <v>-62.87365411086725</v>
      </c>
      <c r="BN182" s="165"/>
      <c r="BO182" s="165"/>
      <c r="BP182" s="165"/>
    </row>
    <row r="183" spans="1:68" s="159" customFormat="1">
      <c r="A183" s="159">
        <v>119</v>
      </c>
      <c r="B183" s="159">
        <f t="shared" si="52"/>
        <v>23988.329190194912</v>
      </c>
      <c r="C183" s="159" t="str">
        <f t="shared" si="53"/>
        <v>150723.11751162j</v>
      </c>
      <c r="D183" s="159">
        <f t="shared" si="54"/>
        <v>0.9907929610026055</v>
      </c>
      <c r="E183" s="159" t="str">
        <f t="shared" si="55"/>
        <v>-0.15072311751162j</v>
      </c>
      <c r="F183" s="159" t="str">
        <f t="shared" si="56"/>
        <v>0.990792961002605-0.15072311751162j</v>
      </c>
      <c r="G183" s="159">
        <f t="shared" si="57"/>
        <v>1.9015800469394072E-2</v>
      </c>
      <c r="H183" s="159">
        <f t="shared" si="58"/>
        <v>-8.64973137840175</v>
      </c>
      <c r="J183" s="159">
        <f t="shared" si="59"/>
        <v>6.3936063936063938</v>
      </c>
      <c r="K183" s="159" t="str">
        <f t="shared" si="60"/>
        <v>1+36.9324390994598j</v>
      </c>
      <c r="L183" s="159">
        <f t="shared" si="61"/>
        <v>-12.346427232875831</v>
      </c>
      <c r="M183" s="159" t="str">
        <f t="shared" si="62"/>
        <v>0.403571310784148j</v>
      </c>
      <c r="N183" s="159" t="str">
        <f t="shared" si="63"/>
        <v>-12.3464272328758+0.403571310784148j</v>
      </c>
      <c r="O183" s="159" t="str">
        <f t="shared" si="64"/>
        <v>0.0167660134724504-2.9907982383034j</v>
      </c>
      <c r="P183" s="159" t="str">
        <f t="shared" si="65"/>
        <v>0.10719529093275-19.1219867384034j</v>
      </c>
      <c r="R183" s="159">
        <f t="shared" si="66"/>
        <v>31.968031968031973</v>
      </c>
      <c r="S183" s="159" t="str">
        <f t="shared" si="67"/>
        <v>1+0.0052753091129067j</v>
      </c>
      <c r="T183" s="159" t="str">
        <f t="shared" si="68"/>
        <v>-12.3464272328758+0.403571310784148j</v>
      </c>
      <c r="U183" s="159" t="str">
        <f t="shared" si="69"/>
        <v>-0.0808946921034857-0.00307150281820901j</v>
      </c>
      <c r="V183" s="159" t="str">
        <f t="shared" si="70"/>
        <v>-2.58604410320833-0.0981899002824059j</v>
      </c>
      <c r="X183" s="159" t="str">
        <f t="shared" si="71"/>
        <v>-0.108811549523105-0.743283732024321j</v>
      </c>
      <c r="Y183" s="159">
        <f t="shared" si="72"/>
        <v>-2.4848174600421071</v>
      </c>
      <c r="Z183" s="159">
        <f t="shared" si="73"/>
        <v>81.67145770629493</v>
      </c>
      <c r="AB183" s="159" t="str">
        <f t="shared" si="74"/>
        <v>-1.13897560150114-0.0432459371426584j</v>
      </c>
      <c r="AC183" s="159">
        <f t="shared" si="75"/>
        <v>1.1365449449741631</v>
      </c>
      <c r="AD183" s="159">
        <f t="shared" si="76"/>
        <v>2.1744276068963586</v>
      </c>
      <c r="AF183" s="159" t="str">
        <f t="shared" si="77"/>
        <v>-0.729863354105039-0.657258848604015j</v>
      </c>
      <c r="AG183" s="159">
        <f t="shared" si="78"/>
        <v>-0.15612354034760381</v>
      </c>
      <c r="AH183" s="159">
        <f t="shared" si="79"/>
        <v>42.003768650393937</v>
      </c>
      <c r="AJ183" s="159" t="str">
        <f t="shared" si="80"/>
        <v>84807.9756107768-78516.6442959659j</v>
      </c>
      <c r="AK183" s="159" t="str">
        <f t="shared" si="81"/>
        <v>30000-0.000135650805760458j</v>
      </c>
      <c r="AL183" s="159" t="str">
        <f t="shared" si="95"/>
        <v>10000-147437.384451055j</v>
      </c>
      <c r="AM183" s="159" t="str">
        <f t="shared" si="96"/>
        <v>961.036365544833-45801.3832287243j</v>
      </c>
      <c r="AN183" s="159" t="str">
        <f t="shared" si="97"/>
        <v>10961.0363655448-45801.3832287243j</v>
      </c>
      <c r="AO183" s="159" t="str">
        <f t="shared" si="98"/>
        <v>20235.9374402351-10917.8773193117j</v>
      </c>
      <c r="AP183" s="159" t="str">
        <f t="shared" si="99"/>
        <v>0.178036106119589+0.121758069769661j</v>
      </c>
      <c r="AQ183" s="159" t="str">
        <f t="shared" si="82"/>
        <v>1+15.0572394394108j</v>
      </c>
      <c r="AR183" s="159">
        <f t="shared" si="83"/>
        <v>-3.3942111041403768E-5</v>
      </c>
      <c r="AS183" s="159" t="str">
        <f t="shared" si="84"/>
        <v>0.000410718987987989j</v>
      </c>
      <c r="AT183" s="159" t="str">
        <f t="shared" si="85"/>
        <v>-0.0000339421110414038+0.000410718987987989j</v>
      </c>
      <c r="AU183" s="159" t="str">
        <f t="shared" si="86"/>
        <v>5.43182468725411-0.814103088659722j</v>
      </c>
      <c r="AW183" s="159" t="str">
        <f t="shared" si="100"/>
        <v>1.1086247928101+0.400430940094434j</v>
      </c>
      <c r="AX183" s="159">
        <f t="shared" si="87"/>
        <v>1.4282537813020264</v>
      </c>
      <c r="AY183" s="159">
        <f t="shared" si="88"/>
        <v>-160.14047850371514</v>
      </c>
      <c r="AZ183" s="159" t="str">
        <f t="shared" si="89"/>
        <v>-1.24537957896466-0.504024588958382j</v>
      </c>
      <c r="BA183" s="159">
        <f t="shared" si="90"/>
        <v>2.5647987262761824</v>
      </c>
      <c r="BB183" s="159">
        <f t="shared" si="91"/>
        <v>22.033949103181186</v>
      </c>
      <c r="BD183" s="159" t="str">
        <f t="shared" si="92"/>
        <v>-0.545957831092493-1.02091332388099j</v>
      </c>
      <c r="BE183" s="159">
        <f t="shared" si="93"/>
        <v>1.2721302409544348</v>
      </c>
      <c r="BF183" s="159">
        <f t="shared" si="94"/>
        <v>61.863290146678807</v>
      </c>
      <c r="BH183" s="159">
        <f t="shared" si="101"/>
        <v>-0.27213024095443483</v>
      </c>
      <c r="BI183" s="169">
        <f t="shared" si="102"/>
        <v>-61.863290146678807</v>
      </c>
      <c r="BN183" s="165"/>
      <c r="BO183" s="165"/>
      <c r="BP183" s="165"/>
    </row>
    <row r="184" spans="1:68" s="159" customFormat="1">
      <c r="A184" s="159">
        <v>120</v>
      </c>
      <c r="B184" s="159">
        <f t="shared" si="52"/>
        <v>25118.864315095805</v>
      </c>
      <c r="C184" s="159" t="str">
        <f t="shared" si="53"/>
        <v>157826.479197648j</v>
      </c>
      <c r="D184" s="159">
        <f t="shared" si="54"/>
        <v>0.98990468248831687</v>
      </c>
      <c r="E184" s="159" t="str">
        <f t="shared" si="55"/>
        <v>-0.157826479197648j</v>
      </c>
      <c r="F184" s="159" t="str">
        <f t="shared" si="56"/>
        <v>0.989904682488317-0.157826479197648j</v>
      </c>
      <c r="G184" s="159">
        <f t="shared" si="57"/>
        <v>2.0884772781622211E-2</v>
      </c>
      <c r="H184" s="159">
        <f t="shared" si="58"/>
        <v>-9.0587679875449378</v>
      </c>
      <c r="J184" s="159">
        <f t="shared" si="59"/>
        <v>6.3936063936063938</v>
      </c>
      <c r="K184" s="159" t="str">
        <f t="shared" si="60"/>
        <v>1+38.6730113301957j</v>
      </c>
      <c r="L184" s="159">
        <f t="shared" si="61"/>
        <v>-13.634066457260012</v>
      </c>
      <c r="M184" s="159" t="str">
        <f t="shared" si="62"/>
        <v>0.422591040696404j</v>
      </c>
      <c r="N184" s="159" t="str">
        <f t="shared" si="63"/>
        <v>-13.63406645726+0.422591040696404j</v>
      </c>
      <c r="O184" s="159" t="str">
        <f t="shared" si="64"/>
        <v>0.0145582563854082-2.83604743036069j</v>
      </c>
      <c r="P184" s="159" t="str">
        <f t="shared" si="65"/>
        <v>0.093079761105507-18.1325709833251j</v>
      </c>
      <c r="R184" s="159">
        <f t="shared" si="66"/>
        <v>31.968031968031973</v>
      </c>
      <c r="S184" s="159" t="str">
        <f t="shared" si="67"/>
        <v>1+0.00552392677191768j</v>
      </c>
      <c r="T184" s="159" t="str">
        <f t="shared" si="68"/>
        <v>-13.63406645726+0.422591040696404j</v>
      </c>
      <c r="U184" s="159" t="str">
        <f t="shared" si="69"/>
        <v>-0.0732627473828033-0.00267595200207249j</v>
      </c>
      <c r="V184" s="159" t="str">
        <f t="shared" si="70"/>
        <v>-2.34206585039931-0.0855449191471725j</v>
      </c>
      <c r="X184" s="159" t="str">
        <f t="shared" si="71"/>
        <v>-0.108566270588214-0.704168445800633j</v>
      </c>
      <c r="Y184" s="159">
        <f t="shared" si="72"/>
        <v>-2.9444430557649826</v>
      </c>
      <c r="Z184" s="159">
        <f t="shared" si="73"/>
        <v>81.235345331061609</v>
      </c>
      <c r="AB184" s="159" t="str">
        <f t="shared" si="74"/>
        <v>-1.03151986364207-0.0376766875785829j</v>
      </c>
      <c r="AC184" s="159">
        <f t="shared" si="75"/>
        <v>0.2753419951077517</v>
      </c>
      <c r="AD184" s="159">
        <f t="shared" si="76"/>
        <v>2.0918220223413471</v>
      </c>
      <c r="AF184" s="159" t="str">
        <f t="shared" si="77"/>
        <v>-0.691976611546076-0.588876957805666j</v>
      </c>
      <c r="AG184" s="159">
        <f t="shared" si="78"/>
        <v>-0.8322626402429768</v>
      </c>
      <c r="AH184" s="159">
        <f t="shared" si="79"/>
        <v>40.398016769281014</v>
      </c>
      <c r="AJ184" s="159" t="str">
        <f t="shared" si="80"/>
        <v>81192.6127096992-78712.1092535984j</v>
      </c>
      <c r="AK184" s="159" t="str">
        <f t="shared" si="81"/>
        <v>30000-0.000142043831277883j</v>
      </c>
      <c r="AL184" s="159" t="str">
        <f t="shared" si="95"/>
        <v>10000-140801.609053149j</v>
      </c>
      <c r="AM184" s="159" t="str">
        <f t="shared" si="96"/>
        <v>960.833981119823-43744.1133405981j</v>
      </c>
      <c r="AN184" s="159" t="str">
        <f t="shared" si="97"/>
        <v>10960.8339811198-43744.1133405981j</v>
      </c>
      <c r="AO184" s="159" t="str">
        <f t="shared" si="98"/>
        <v>19735.0911357604-10962.4070581388j</v>
      </c>
      <c r="AP184" s="159" t="str">
        <f t="shared" si="99"/>
        <v>0.17973531466992+0.127232783399477j</v>
      </c>
      <c r="AQ184" s="159" t="str">
        <f t="shared" si="82"/>
        <v>1+15.766865271845j</v>
      </c>
      <c r="AR184" s="159">
        <f t="shared" si="83"/>
        <v>-3.7226432507584515E-5</v>
      </c>
      <c r="AS184" s="159" t="str">
        <f t="shared" si="84"/>
        <v>0.000430075577548799j</v>
      </c>
      <c r="AT184" s="159" t="str">
        <f t="shared" si="85"/>
        <v>-0.0000372264325075845+0.000430075577548799j</v>
      </c>
      <c r="AU184" s="159" t="str">
        <f t="shared" si="86"/>
        <v>5.42824359090765-0.818633193910443j</v>
      </c>
      <c r="AW184" s="159" t="str">
        <f t="shared" si="100"/>
        <v>1.12643613603676+0.420112136875925j</v>
      </c>
      <c r="AX184" s="159">
        <f t="shared" si="87"/>
        <v>1.5997380085429129</v>
      </c>
      <c r="AY184" s="159">
        <f t="shared" si="88"/>
        <v>-159.54665214482455</v>
      </c>
      <c r="AZ184" s="159" t="str">
        <f t="shared" si="89"/>
        <v>-1.14611281571709-0.475794396519314j</v>
      </c>
      <c r="BA184" s="159">
        <f t="shared" si="90"/>
        <v>1.8750800036506343</v>
      </c>
      <c r="BB184" s="159">
        <f t="shared" si="91"/>
        <v>22.545169877516798</v>
      </c>
      <c r="BD184" s="159" t="str">
        <f t="shared" si="92"/>
        <v>-0.532073103437038-0.954040057896477j</v>
      </c>
      <c r="BE184" s="159">
        <f t="shared" si="93"/>
        <v>0.7674753682999037</v>
      </c>
      <c r="BF184" s="159">
        <f t="shared" si="94"/>
        <v>60.85136462445648</v>
      </c>
      <c r="BH184" s="159">
        <f t="shared" si="101"/>
        <v>0.2325246317000963</v>
      </c>
      <c r="BI184" s="169">
        <f t="shared" si="102"/>
        <v>-60.85136462445648</v>
      </c>
      <c r="BN184" s="165"/>
      <c r="BO184" s="165"/>
      <c r="BP184" s="165"/>
    </row>
    <row r="185" spans="1:68" s="159" customFormat="1">
      <c r="A185" s="159">
        <v>121</v>
      </c>
      <c r="B185" s="159">
        <f t="shared" si="52"/>
        <v>26302.679918953818</v>
      </c>
      <c r="C185" s="159" t="str">
        <f t="shared" si="53"/>
        <v>165264.612006218j</v>
      </c>
      <c r="D185" s="159">
        <f t="shared" si="54"/>
        <v>0.98893070446529707</v>
      </c>
      <c r="E185" s="159" t="str">
        <f t="shared" si="55"/>
        <v>-0.165264612006218j</v>
      </c>
      <c r="F185" s="159" t="str">
        <f t="shared" si="56"/>
        <v>0.988930704465297-0.165264612006218j</v>
      </c>
      <c r="G185" s="159">
        <f t="shared" si="57"/>
        <v>2.2940971874424607E-2</v>
      </c>
      <c r="H185" s="159">
        <f t="shared" si="58"/>
        <v>-9.4872831510777029</v>
      </c>
      <c r="J185" s="159">
        <f t="shared" si="59"/>
        <v>6.3936063936063938</v>
      </c>
      <c r="K185" s="159" t="str">
        <f t="shared" si="60"/>
        <v>1+40.4956142029436j</v>
      </c>
      <c r="L185" s="159">
        <f t="shared" si="61"/>
        <v>-15.045934791295849</v>
      </c>
      <c r="M185" s="159" t="str">
        <f t="shared" si="62"/>
        <v>0.442507142863742j</v>
      </c>
      <c r="N185" s="159" t="str">
        <f t="shared" si="63"/>
        <v>-15.0459347912958+0.442507142863742j</v>
      </c>
      <c r="O185" s="159" t="str">
        <f t="shared" si="64"/>
        <v>0.0126830033868676-2.69109247414629j</v>
      </c>
      <c r="P185" s="159" t="str">
        <f t="shared" si="65"/>
        <v>0.0810901315444082-17.2057860484878j</v>
      </c>
      <c r="R185" s="159">
        <f t="shared" si="66"/>
        <v>31.968031968031973</v>
      </c>
      <c r="S185" s="159" t="str">
        <f t="shared" si="67"/>
        <v>1+0.00578426142021763j</v>
      </c>
      <c r="T185" s="159" t="str">
        <f t="shared" si="68"/>
        <v>-15.0459347912958+0.442507142863742j</v>
      </c>
      <c r="U185" s="159" t="str">
        <f t="shared" si="69"/>
        <v>-0.0663943994543519-0.0023371267995432j</v>
      </c>
      <c r="V185" s="159" t="str">
        <f t="shared" si="70"/>
        <v>-2.12249828425501-0.0747133442411413j</v>
      </c>
      <c r="X185" s="159" t="str">
        <f t="shared" si="71"/>
        <v>-0.108317567973584-0.667499272749364j</v>
      </c>
      <c r="Y185" s="159">
        <f t="shared" si="72"/>
        <v>-3.3981021915434741</v>
      </c>
      <c r="Z185" s="159">
        <f t="shared" si="73"/>
        <v>80.782747400574266</v>
      </c>
      <c r="AB185" s="159" t="str">
        <f t="shared" si="74"/>
        <v>-0.934815364129051-0.0329061194631761j</v>
      </c>
      <c r="AC185" s="159">
        <f t="shared" si="75"/>
        <v>-0.58010521425300232</v>
      </c>
      <c r="AD185" s="159">
        <f t="shared" si="76"/>
        <v>2.0160169580529441</v>
      </c>
      <c r="AF185" s="159" t="str">
        <f t="shared" si="77"/>
        <v>-0.654166581699369-0.526602095251924j</v>
      </c>
      <c r="AG185" s="159">
        <f t="shared" si="78"/>
        <v>-1.5166079500545637</v>
      </c>
      <c r="AH185" s="159">
        <f t="shared" si="79"/>
        <v>38.833958501341954</v>
      </c>
      <c r="AJ185" s="159" t="str">
        <f t="shared" si="80"/>
        <v>77566.9139843106-78741.1125618598j</v>
      </c>
      <c r="AK185" s="159" t="str">
        <f t="shared" si="81"/>
        <v>30000-0.000148738150805596j</v>
      </c>
      <c r="AL185" s="159" t="str">
        <f t="shared" si="95"/>
        <v>10000-134464.492745647j</v>
      </c>
      <c r="AM185" s="159" t="str">
        <f t="shared" si="96"/>
        <v>960.612168960553-41779.6286719774j</v>
      </c>
      <c r="AN185" s="159" t="str">
        <f t="shared" si="97"/>
        <v>10960.6121689606-41779.6286719774j</v>
      </c>
      <c r="AO185" s="159" t="str">
        <f t="shared" si="98"/>
        <v>19231.3110251943-10984.0112634392j</v>
      </c>
      <c r="AP185" s="159" t="str">
        <f t="shared" si="99"/>
        <v>0.181590403272318+0.132927772424296j</v>
      </c>
      <c r="AQ185" s="159" t="str">
        <f t="shared" si="82"/>
        <v>1+16.5099347394212j</v>
      </c>
      <c r="AR185" s="159">
        <f t="shared" si="83"/>
        <v>-4.0827619384376356E-5</v>
      </c>
      <c r="AS185" s="159" t="str">
        <f t="shared" si="84"/>
        <v>0.000450344415070824j</v>
      </c>
      <c r="AT185" s="159" t="str">
        <f t="shared" si="85"/>
        <v>-0.0000408276193843764+0.000450344415070824j</v>
      </c>
      <c r="AU185" s="159" t="str">
        <f t="shared" si="86"/>
        <v>5.42432383471974-0.824840314458258j</v>
      </c>
      <c r="AW185" s="159" t="str">
        <f t="shared" si="100"/>
        <v>1.14578233594016+0.439840629932131j</v>
      </c>
      <c r="AX185" s="159">
        <f t="shared" si="87"/>
        <v>1.779048277282548</v>
      </c>
      <c r="AY185" s="159">
        <f t="shared" si="88"/>
        <v>-158.99930269972066</v>
      </c>
      <c r="AZ185" s="159" t="str">
        <f t="shared" si="89"/>
        <v>-1.05662148327123-0.448873029054j</v>
      </c>
      <c r="BA185" s="159">
        <f t="shared" si="90"/>
        <v>1.1989430630295443</v>
      </c>
      <c r="BB185" s="159">
        <f t="shared" si="91"/>
        <v>23.016714258332257</v>
      </c>
      <c r="BD185" s="159" t="str">
        <f t="shared" si="92"/>
        <v>-0.517911516774306-0.891100420183932j</v>
      </c>
      <c r="BE185" s="159">
        <f t="shared" si="93"/>
        <v>0.26244032722798555</v>
      </c>
      <c r="BF185" s="159">
        <f t="shared" si="94"/>
        <v>59.834655801621309</v>
      </c>
      <c r="BH185" s="159">
        <f t="shared" si="101"/>
        <v>0.7375596727720144</v>
      </c>
      <c r="BI185" s="169">
        <f t="shared" si="102"/>
        <v>-59.834655801621309</v>
      </c>
      <c r="BN185" s="165"/>
      <c r="BO185" s="165"/>
      <c r="BP185" s="165"/>
    </row>
    <row r="186" spans="1:68" s="159" customFormat="1">
      <c r="A186" s="159">
        <v>122</v>
      </c>
      <c r="B186" s="159">
        <f t="shared" si="52"/>
        <v>27542.287033381683</v>
      </c>
      <c r="C186" s="159" t="str">
        <f t="shared" si="53"/>
        <v>173053.293214267j</v>
      </c>
      <c r="D186" s="159">
        <f t="shared" si="54"/>
        <v>0.987862758799533</v>
      </c>
      <c r="E186" s="159" t="str">
        <f t="shared" si="55"/>
        <v>-0.173053293214267j</v>
      </c>
      <c r="F186" s="159" t="str">
        <f t="shared" si="56"/>
        <v>0.987862758799533-0.173053293214267j</v>
      </c>
      <c r="G186" s="159">
        <f t="shared" si="57"/>
        <v>2.5203846681004734E-2</v>
      </c>
      <c r="H186" s="159">
        <f t="shared" si="58"/>
        <v>-9.9362235727137769</v>
      </c>
      <c r="J186" s="159">
        <f t="shared" si="59"/>
        <v>6.3936063936063938</v>
      </c>
      <c r="K186" s="159" t="str">
        <f t="shared" si="60"/>
        <v>1+42.4041137027579j</v>
      </c>
      <c r="L186" s="159">
        <f t="shared" si="61"/>
        <v>-16.594017635391388</v>
      </c>
      <c r="M186" s="159" t="str">
        <f t="shared" si="62"/>
        <v>0.463361862009064j</v>
      </c>
      <c r="N186" s="159" t="str">
        <f t="shared" si="63"/>
        <v>-16.5940176353914+0.463361862009064j</v>
      </c>
      <c r="O186" s="159" t="str">
        <f t="shared" si="64"/>
        <v>0.0110838028556845-2.55507610169106j</v>
      </c>
      <c r="P186" s="159" t="str">
        <f t="shared" si="65"/>
        <v>0.0708654728035772-16.3361508999229j</v>
      </c>
      <c r="R186" s="159">
        <f t="shared" si="66"/>
        <v>31.968031968031973</v>
      </c>
      <c r="S186" s="159" t="str">
        <f t="shared" si="67"/>
        <v>1+0.00605686526249934j</v>
      </c>
      <c r="T186" s="159" t="str">
        <f t="shared" si="68"/>
        <v>-16.5940176353914+0.463361862009064j</v>
      </c>
      <c r="U186" s="159" t="str">
        <f t="shared" si="69"/>
        <v>-0.0602055460537163-0.00204614819215364j</v>
      </c>
      <c r="V186" s="159" t="str">
        <f t="shared" si="70"/>
        <v>-1.92465282089802-0.0654113308180984j</v>
      </c>
      <c r="X186" s="159" t="str">
        <f t="shared" si="71"/>
        <v>-0.108070787125587-0.633059826190283j</v>
      </c>
      <c r="Y186" s="159">
        <f t="shared" si="72"/>
        <v>-3.846349692733301</v>
      </c>
      <c r="Z186" s="159">
        <f t="shared" si="73"/>
        <v>80.312321330020808</v>
      </c>
      <c r="AB186" s="159" t="str">
        <f t="shared" si="74"/>
        <v>-0.847677965601418-0.0288092185941856j</v>
      </c>
      <c r="AC186" s="159">
        <f t="shared" si="75"/>
        <v>-1.4303686854445228</v>
      </c>
      <c r="AD186" s="159">
        <f t="shared" si="76"/>
        <v>1.946507537675501</v>
      </c>
      <c r="AF186" s="159" t="str">
        <f t="shared" si="77"/>
        <v>-0.61675939298221-0.470053908611872j</v>
      </c>
      <c r="AG186" s="159">
        <f t="shared" si="78"/>
        <v>-2.2087786590222831</v>
      </c>
      <c r="AH186" s="159">
        <f t="shared" si="79"/>
        <v>37.312293207795079</v>
      </c>
      <c r="AJ186" s="159" t="str">
        <f t="shared" si="80"/>
        <v>73946.2251252979-78603.3475556428j</v>
      </c>
      <c r="AK186" s="159" t="str">
        <f t="shared" si="81"/>
        <v>30000-0.00015574796389284j</v>
      </c>
      <c r="AL186" s="159" t="str">
        <f t="shared" si="95"/>
        <v>9999.99999999999-128412.593655225j</v>
      </c>
      <c r="AM186" s="159" t="str">
        <f t="shared" si="96"/>
        <v>960.369074444312-39903.7620060803j</v>
      </c>
      <c r="AN186" s="159" t="str">
        <f t="shared" si="97"/>
        <v>10960.3690744443-39903.7620060803j</v>
      </c>
      <c r="AO186" s="159" t="str">
        <f t="shared" si="98"/>
        <v>18726.7177938131-10982.4784087243j</v>
      </c>
      <c r="AP186" s="159" t="str">
        <f t="shared" si="99"/>
        <v>0.183614847145026+0.138848154437249j</v>
      </c>
      <c r="AQ186" s="159" t="str">
        <f t="shared" si="82"/>
        <v>1+17.2880239921053j</v>
      </c>
      <c r="AR186" s="159">
        <f t="shared" si="83"/>
        <v>-4.4776242275016197E-5</v>
      </c>
      <c r="AS186" s="159" t="str">
        <f t="shared" si="84"/>
        <v>0.000471568493475945j</v>
      </c>
      <c r="AT186" s="159" t="str">
        <f t="shared" si="85"/>
        <v>-0.0000447762422750162+0.000471568493475945j</v>
      </c>
      <c r="AU186" s="159" t="str">
        <f t="shared" si="86"/>
        <v>5.42003369698511-0.832728961726083j</v>
      </c>
      <c r="AW186" s="159" t="str">
        <f t="shared" si="100"/>
        <v>1.16677630053807+0.459543771838704j</v>
      </c>
      <c r="AX186" s="159">
        <f t="shared" si="87"/>
        <v>1.9660374868786263</v>
      </c>
      <c r="AY186" s="159">
        <f t="shared" si="88"/>
        <v>-158.50262017674447</v>
      </c>
      <c r="AZ186" s="159" t="str">
        <f t="shared" si="89"/>
        <v>-0.975811463775563-0.423159043109751j</v>
      </c>
      <c r="BA186" s="159">
        <f t="shared" si="90"/>
        <v>0.53566880143410878</v>
      </c>
      <c r="BB186" s="159">
        <f t="shared" si="91"/>
        <v>23.443887360931001</v>
      </c>
      <c r="BD186" s="159" t="str">
        <f t="shared" si="92"/>
        <v>-0.503609896734865-0.831875698311614j</v>
      </c>
      <c r="BE186" s="159">
        <f t="shared" si="93"/>
        <v>-0.24274117214365298</v>
      </c>
      <c r="BF186" s="159">
        <f t="shared" si="94"/>
        <v>58.809673031050551</v>
      </c>
      <c r="BH186" s="159">
        <f t="shared" si="101"/>
        <v>1.242741172143653</v>
      </c>
      <c r="BI186" s="169">
        <f t="shared" si="102"/>
        <v>-58.809673031050551</v>
      </c>
      <c r="BN186" s="165"/>
      <c r="BO186" s="165"/>
      <c r="BP186" s="165"/>
    </row>
    <row r="187" spans="1:68" s="159" customFormat="1">
      <c r="A187" s="159">
        <v>123</v>
      </c>
      <c r="B187" s="159">
        <f t="shared" si="52"/>
        <v>28840.315031266073</v>
      </c>
      <c r="C187" s="159" t="str">
        <f t="shared" si="53"/>
        <v>181209.043658882j</v>
      </c>
      <c r="D187" s="159">
        <f t="shared" si="54"/>
        <v>0.98669177966235722</v>
      </c>
      <c r="E187" s="159" t="str">
        <f t="shared" si="55"/>
        <v>-0.181209043658882j</v>
      </c>
      <c r="F187" s="159" t="str">
        <f t="shared" si="56"/>
        <v>0.986691779662357-0.181209043658882j</v>
      </c>
      <c r="G187" s="159">
        <f t="shared" si="57"/>
        <v>2.7694998821680424E-2</v>
      </c>
      <c r="H187" s="159">
        <f t="shared" si="58"/>
        <v>-10.406584539403831</v>
      </c>
      <c r="J187" s="159">
        <f t="shared" si="59"/>
        <v>6.3936063936063938</v>
      </c>
      <c r="K187" s="159" t="str">
        <f t="shared" si="60"/>
        <v>1+44.4025580129542j</v>
      </c>
      <c r="L187" s="159">
        <f t="shared" si="61"/>
        <v>-18.291456719765318</v>
      </c>
      <c r="M187" s="159" t="str">
        <f t="shared" si="62"/>
        <v>0.485199433787713j</v>
      </c>
      <c r="N187" s="159" t="str">
        <f t="shared" si="63"/>
        <v>-18.2914567197653+0.485199433787713j</v>
      </c>
      <c r="O187" s="159" t="str">
        <f t="shared" si="64"/>
        <v>0.00971479947823635-2.4272448650726j</v>
      </c>
      <c r="P187" s="159" t="str">
        <f t="shared" si="65"/>
        <v>0.062112604056656-15.5188482881765j</v>
      </c>
      <c r="R187" s="159">
        <f t="shared" si="66"/>
        <v>31.968031968031973</v>
      </c>
      <c r="S187" s="159" t="str">
        <f t="shared" si="67"/>
        <v>1+0.00634231652806087j</v>
      </c>
      <c r="T187" s="159" t="str">
        <f t="shared" si="68"/>
        <v>-18.2914567197653+0.485199433787713j</v>
      </c>
      <c r="U187" s="159" t="str">
        <f t="shared" si="69"/>
        <v>-0.0546226996876745-0.00179565903315864j</v>
      </c>
      <c r="V187" s="159" t="str">
        <f t="shared" si="70"/>
        <v>-1.74618020979579-0.0574036853757008j</v>
      </c>
      <c r="X187" s="159" t="str">
        <f t="shared" si="71"/>
        <v>-0.107829729065181-0.600659859379107j</v>
      </c>
      <c r="Y187" s="159">
        <f t="shared" si="72"/>
        <v>-4.2896756731496026</v>
      </c>
      <c r="Z187" s="159">
        <f t="shared" si="73"/>
        <v>79.822734737267766</v>
      </c>
      <c r="AB187" s="159" t="str">
        <f t="shared" si="74"/>
        <v>-0.769072983834305-0.0252823983156577j</v>
      </c>
      <c r="AC187" s="159">
        <f t="shared" si="75"/>
        <v>-2.2759580413949068</v>
      </c>
      <c r="AD187" s="159">
        <f t="shared" si="76"/>
        <v>1.8828554214796043</v>
      </c>
      <c r="AF187" s="159" t="str">
        <f t="shared" si="77"/>
        <v>-0.580032069151598-0.418848723816006j</v>
      </c>
      <c r="AG187" s="159">
        <f t="shared" si="78"/>
        <v>-2.9083908888649352</v>
      </c>
      <c r="AH187" s="159">
        <f t="shared" si="79"/>
        <v>35.833541701793365</v>
      </c>
      <c r="AJ187" s="159" t="str">
        <f t="shared" si="80"/>
        <v>70345.807242939-78300.2684803964j</v>
      </c>
      <c r="AK187" s="159" t="str">
        <f t="shared" si="81"/>
        <v>30000-0.000163088139292994j</v>
      </c>
      <c r="AL187" s="159" t="str">
        <f t="shared" si="95"/>
        <v>10000-122633.074892523j</v>
      </c>
      <c r="AM187" s="159" t="str">
        <f t="shared" si="96"/>
        <v>960.102667982481-38112.5340554906j</v>
      </c>
      <c r="AN187" s="159" t="str">
        <f t="shared" si="97"/>
        <v>10960.1026679825-38112.5340554906j</v>
      </c>
      <c r="AO187" s="159" t="str">
        <f t="shared" si="98"/>
        <v>18223.4455429933-10957.8419578837j</v>
      </c>
      <c r="AP187" s="159" t="str">
        <f t="shared" si="99"/>
        <v>0.185823125369548+0.144998589111885j</v>
      </c>
      <c r="AQ187" s="159" t="str">
        <f t="shared" si="82"/>
        <v>1+18.1027834615223j</v>
      </c>
      <c r="AR187" s="159">
        <f t="shared" si="83"/>
        <v>-4.9105821179394257E-5</v>
      </c>
      <c r="AS187" s="159" t="str">
        <f t="shared" si="84"/>
        <v>0.000493792831880017j</v>
      </c>
      <c r="AT187" s="159" t="str">
        <f t="shared" si="85"/>
        <v>-0.0000491058211793943+0.000493792831880017j</v>
      </c>
      <c r="AU187" s="159" t="str">
        <f t="shared" si="86"/>
        <v>5.41533862032405-0.842305969351461j</v>
      </c>
      <c r="AW187" s="159" t="str">
        <f t="shared" si="100"/>
        <v>1.18953533689656+0.479134469560452j</v>
      </c>
      <c r="AX187" s="159">
        <f t="shared" si="87"/>
        <v>2.1605082082163927</v>
      </c>
      <c r="AY187" s="159">
        <f t="shared" si="88"/>
        <v>-158.06085354422123</v>
      </c>
      <c r="AZ187" s="159" t="str">
        <f t="shared" si="89"/>
        <v>-0.902725822417194-0.398563682360693j</v>
      </c>
      <c r="BA187" s="159">
        <f t="shared" si="90"/>
        <v>-0.11544983317851422</v>
      </c>
      <c r="BB187" s="159">
        <f t="shared" si="91"/>
        <v>23.822001877258401</v>
      </c>
      <c r="BD187" s="159" t="str">
        <f t="shared" si="92"/>
        <v>-0.4892837816774-0.776148715574169j</v>
      </c>
      <c r="BE187" s="159">
        <f t="shared" si="93"/>
        <v>-0.7478826806485499</v>
      </c>
      <c r="BF187" s="159">
        <f t="shared" si="94"/>
        <v>57.772688157572176</v>
      </c>
      <c r="BH187" s="159">
        <f t="shared" si="101"/>
        <v>1.7478826806485499</v>
      </c>
      <c r="BI187" s="169">
        <f t="shared" si="102"/>
        <v>-57.772688157572176</v>
      </c>
      <c r="BN187" s="165"/>
      <c r="BO187" s="165"/>
      <c r="BP187" s="165"/>
    </row>
    <row r="188" spans="1:68" s="159" customFormat="1">
      <c r="A188" s="159">
        <v>124</v>
      </c>
      <c r="B188" s="159">
        <f t="shared" si="52"/>
        <v>30199.517204020169</v>
      </c>
      <c r="C188" s="159" t="str">
        <f t="shared" si="53"/>
        <v>189749.162780217j</v>
      </c>
      <c r="D188" s="159">
        <f t="shared" si="54"/>
        <v>0.98540782657030535</v>
      </c>
      <c r="E188" s="159" t="str">
        <f t="shared" si="55"/>
        <v>-0.189749162780217j</v>
      </c>
      <c r="F188" s="159" t="str">
        <f t="shared" si="56"/>
        <v>0.985407826570305-0.189749162780217j</v>
      </c>
      <c r="G188" s="159">
        <f t="shared" si="57"/>
        <v>3.0438444891939399E-2</v>
      </c>
      <c r="H188" s="159">
        <f t="shared" si="58"/>
        <v>-10.899412724570547</v>
      </c>
      <c r="J188" s="159">
        <f t="shared" si="59"/>
        <v>6.3936063936063938</v>
      </c>
      <c r="K188" s="159" t="str">
        <f t="shared" si="60"/>
        <v>1+46.4951861018505j</v>
      </c>
      <c r="L188" s="159">
        <f t="shared" si="61"/>
        <v>-20.152661665062567</v>
      </c>
      <c r="M188" s="159" t="str">
        <f t="shared" si="62"/>
        <v>0.508066178617246j</v>
      </c>
      <c r="N188" s="159" t="str">
        <f t="shared" si="63"/>
        <v>-20.1526616650626+0.508066178617246j</v>
      </c>
      <c r="O188" s="159" t="str">
        <f t="shared" si="64"/>
        <v>0.00853856581982184-2.30693338269762j</v>
      </c>
      <c r="P188" s="159" t="str">
        <f t="shared" si="65"/>
        <v>0.0545922290178419-14.7496240252395j</v>
      </c>
      <c r="R188" s="159">
        <f t="shared" si="66"/>
        <v>31.968031968031973</v>
      </c>
      <c r="S188" s="159" t="str">
        <f t="shared" si="67"/>
        <v>1+0.00664122069730759j</v>
      </c>
      <c r="T188" s="159" t="str">
        <f t="shared" si="68"/>
        <v>-20.1526616650626+0.508066178617246j</v>
      </c>
      <c r="U188" s="159" t="str">
        <f t="shared" si="69"/>
        <v>-0.0495814154788066-0.00157953631729171j</v>
      </c>
      <c r="V188" s="159" t="str">
        <f t="shared" si="70"/>
        <v>-1.58502027504676-0.0504946674858489j</v>
      </c>
      <c r="X188" s="159" t="str">
        <f t="shared" si="71"/>
        <v>-0.107597029215044-0.570131286810828j</v>
      </c>
      <c r="Y188" s="159">
        <f t="shared" si="72"/>
        <v>-4.7285130501161756</v>
      </c>
      <c r="Z188" s="159">
        <f t="shared" si="73"/>
        <v>79.312653022209687</v>
      </c>
      <c r="AB188" s="159" t="str">
        <f t="shared" si="74"/>
        <v>-0.698093052211742-0.0222394483531596j</v>
      </c>
      <c r="AC188" s="159">
        <f t="shared" si="75"/>
        <v>-3.1173282853164856</v>
      </c>
      <c r="AD188" s="159">
        <f t="shared" si="76"/>
        <v>1.8246789860144474</v>
      </c>
      <c r="AF188" s="159" t="str">
        <f t="shared" si="77"/>
        <v>-0.544215344427558-0.372604814035259j</v>
      </c>
      <c r="AG188" s="159">
        <f t="shared" si="78"/>
        <v>-3.615060621222062</v>
      </c>
      <c r="AH188" s="159">
        <f t="shared" si="79"/>
        <v>34.398049674928217</v>
      </c>
      <c r="AJ188" s="159" t="str">
        <f t="shared" si="80"/>
        <v>66780.5810002868-77835.0532138914j</v>
      </c>
      <c r="AK188" s="159" t="str">
        <f t="shared" si="81"/>
        <v>30000-0.000170774246502195j</v>
      </c>
      <c r="AL188" s="159" t="str">
        <f t="shared" si="95"/>
        <v>10000-117113.677323371j</v>
      </c>
      <c r="AM188" s="159" t="str">
        <f t="shared" si="96"/>
        <v>959.810728933898-36402.1450155354j</v>
      </c>
      <c r="AN188" s="159" t="str">
        <f t="shared" si="97"/>
        <v>10959.8107289339-36402.1450155354j</v>
      </c>
      <c r="AO188" s="159" t="str">
        <f t="shared" si="98"/>
        <v>17723.6057530988-10910.3795778242j</v>
      </c>
      <c r="AP188" s="159" t="str">
        <f t="shared" si="99"/>
        <v>0.188230763876913+0.151383172458721j</v>
      </c>
      <c r="AQ188" s="159" t="str">
        <f t="shared" si="82"/>
        <v>1+18.9559413617437j</v>
      </c>
      <c r="AR188" s="159">
        <f t="shared" si="83"/>
        <v>-5.3853110046526261E-5</v>
      </c>
      <c r="AS188" s="159" t="str">
        <f t="shared" si="84"/>
        <v>0.000517064571084464j</v>
      </c>
      <c r="AT188" s="159" t="str">
        <f t="shared" si="85"/>
        <v>-0.0000538531100465263+0.000517064571084464j</v>
      </c>
      <c r="AU188" s="159" t="str">
        <f t="shared" si="86"/>
        <v>5.41020097895248-0.853580332854124j</v>
      </c>
      <c r="AW188" s="159" t="str">
        <f t="shared" si="100"/>
        <v>1.21418044464438+0.498509477807288j</v>
      </c>
      <c r="AX188" s="159">
        <f t="shared" si="87"/>
        <v>2.3622121280498956</v>
      </c>
      <c r="AY188" s="159">
        <f t="shared" si="88"/>
        <v>-157.67827989476905</v>
      </c>
      <c r="AZ188" s="159" t="str">
        <f t="shared" si="89"/>
        <v>-0.836524356752349-0.375008706209056j</v>
      </c>
      <c r="BA188" s="159">
        <f t="shared" si="90"/>
        <v>-0.75511615726659387</v>
      </c>
      <c r="BB188" s="159">
        <f t="shared" si="91"/>
        <v>24.146399091245399</v>
      </c>
      <c r="BD188" s="159" t="str">
        <f t="shared" si="92"/>
        <v>-0.475028597606148-0.723705985947262j</v>
      </c>
      <c r="BE188" s="159">
        <f t="shared" si="93"/>
        <v>-1.2528484931721717</v>
      </c>
      <c r="BF188" s="159">
        <f t="shared" si="94"/>
        <v>56.719769780159183</v>
      </c>
      <c r="BH188" s="159">
        <f t="shared" si="101"/>
        <v>2.2528484931721717</v>
      </c>
      <c r="BI188" s="169">
        <f t="shared" si="102"/>
        <v>-56.719769780159183</v>
      </c>
      <c r="BN188" s="165"/>
      <c r="BO188" s="165"/>
      <c r="BP188" s="165"/>
    </row>
    <row r="189" spans="1:68" s="159" customFormat="1">
      <c r="A189" s="159">
        <v>125</v>
      </c>
      <c r="B189" s="159">
        <f t="shared" si="52"/>
        <v>31622.776601683825</v>
      </c>
      <c r="C189" s="159" t="str">
        <f t="shared" si="53"/>
        <v>198691.765315922j</v>
      </c>
      <c r="D189" s="159">
        <f t="shared" si="54"/>
        <v>0.98399999999999999</v>
      </c>
      <c r="E189" s="159" t="str">
        <f t="shared" si="55"/>
        <v>-0.198691765315922j</v>
      </c>
      <c r="F189" s="159" t="str">
        <f t="shared" si="56"/>
        <v>0.984-0.198691765315922j</v>
      </c>
      <c r="G189" s="159">
        <f t="shared" si="57"/>
        <v>3.3460914683403301E-2</v>
      </c>
      <c r="H189" s="159">
        <f t="shared" si="58"/>
        <v>-11.415809180439439</v>
      </c>
      <c r="J189" s="159">
        <f t="shared" si="59"/>
        <v>6.3936063936063938</v>
      </c>
      <c r="K189" s="159" t="str">
        <f t="shared" si="60"/>
        <v>1+48.6864367141869j</v>
      </c>
      <c r="L189" s="159">
        <f t="shared" si="61"/>
        <v>-22.193432306134785</v>
      </c>
      <c r="M189" s="159" t="str">
        <f t="shared" si="62"/>
        <v>0.532010599929244j</v>
      </c>
      <c r="N189" s="159" t="str">
        <f t="shared" si="63"/>
        <v>-22.1934323061348+0.532010599929244j</v>
      </c>
      <c r="O189" s="159" t="str">
        <f t="shared" si="64"/>
        <v>0.0075244141318487-2.19355136125806j</v>
      </c>
      <c r="P189" s="159" t="str">
        <f t="shared" si="65"/>
        <v>0.0481081423015301-14.0247040080435j</v>
      </c>
      <c r="R189" s="159">
        <f t="shared" si="66"/>
        <v>31.968031968031973</v>
      </c>
      <c r="S189" s="159" t="str">
        <f t="shared" si="67"/>
        <v>1+0.00695421178605727j</v>
      </c>
      <c r="T189" s="159" t="str">
        <f t="shared" si="68"/>
        <v>-22.1934323061348+0.532010599929244j</v>
      </c>
      <c r="U189" s="159" t="str">
        <f t="shared" si="69"/>
        <v>-0.0450249909272966-0.00139266354995272j</v>
      </c>
      <c r="V189" s="159" t="str">
        <f t="shared" si="70"/>
        <v>-1.43936034932417-0.0445207128856014j</v>
      </c>
      <c r="X189" s="159" t="str">
        <f t="shared" si="71"/>
        <v>-0.107374444350425-0.541324907188502j</v>
      </c>
      <c r="Y189" s="159">
        <f t="shared" si="72"/>
        <v>-5.163243891468924</v>
      </c>
      <c r="Z189" s="159">
        <f t="shared" si="73"/>
        <v>78.780728493474541</v>
      </c>
      <c r="AB189" s="159" t="str">
        <f t="shared" si="74"/>
        <v>-0.633939814721062-0.0196083298329009j</v>
      </c>
      <c r="AC189" s="159">
        <f t="shared" si="75"/>
        <v>-3.9548864296384609</v>
      </c>
      <c r="AD189" s="159">
        <f t="shared" si="76"/>
        <v>1.7716452546512755</v>
      </c>
      <c r="AF189" s="159" t="str">
        <f t="shared" si="77"/>
        <v>-0.509496934618835-0.330946956210875j</v>
      </c>
      <c r="AG189" s="159">
        <f t="shared" si="78"/>
        <v>-4.3284064215063367</v>
      </c>
      <c r="AH189" s="159">
        <f t="shared" si="79"/>
        <v>33.005993470941121</v>
      </c>
      <c r="AJ189" s="159" t="str">
        <f t="shared" si="80"/>
        <v>63264.8828147517-77212.5225967856j</v>
      </c>
      <c r="AK189" s="159" t="str">
        <f t="shared" si="81"/>
        <v>30000-0.00017882258878433j</v>
      </c>
      <c r="AL189" s="159" t="str">
        <f t="shared" si="95"/>
        <v>10000-111842.693565527j</v>
      </c>
      <c r="AM189" s="159" t="str">
        <f t="shared" si="96"/>
        <v>959.490828124114-34768.9664975083j</v>
      </c>
      <c r="AN189" s="159" t="str">
        <f t="shared" si="97"/>
        <v>10959.4908281241-34768.9664975083j</v>
      </c>
      <c r="AO189" s="159" t="str">
        <f t="shared" si="98"/>
        <v>17229.2520481601-10840.6061107474j</v>
      </c>
      <c r="AP189" s="159" t="str">
        <f t="shared" si="99"/>
        <v>0.190854373462458+0.158005318124316j</v>
      </c>
      <c r="AQ189" s="159" t="str">
        <f t="shared" si="82"/>
        <v>1+19.8493073550606j</v>
      </c>
      <c r="AR189" s="159">
        <f t="shared" si="83"/>
        <v>-5.9058408780129561E-5</v>
      </c>
      <c r="AS189" s="159" t="str">
        <f t="shared" si="84"/>
        <v>0.000541433073568234j</v>
      </c>
      <c r="AT189" s="159" t="str">
        <f t="shared" si="85"/>
        <v>-0.0000590584087801296+0.000541433073568234j</v>
      </c>
      <c r="AU189" s="159" t="str">
        <f t="shared" si="86"/>
        <v>5.40457983161653-0.866563030382229j</v>
      </c>
      <c r="AW189" s="159" t="str">
        <f t="shared" si="100"/>
        <v>1.2408353657523+0.517547571015135j</v>
      </c>
      <c r="AX189" s="159">
        <f t="shared" si="87"/>
        <v>2.57085007905328</v>
      </c>
      <c r="AY189" s="159">
        <f t="shared" si="88"/>
        <v>-157.3591740997152</v>
      </c>
      <c r="AZ189" s="159" t="str">
        <f t="shared" si="89"/>
        <v>-0.776466698387672-0.352424720398669j</v>
      </c>
      <c r="BA189" s="159">
        <f t="shared" si="90"/>
        <v>-1.3840363505851896</v>
      </c>
      <c r="BB189" s="159">
        <f t="shared" si="91"/>
        <v>24.412471154936043</v>
      </c>
      <c r="BD189" s="159" t="str">
        <f t="shared" si="92"/>
        <v>-0.460921021895647-0.674339588406166j</v>
      </c>
      <c r="BE189" s="159">
        <f t="shared" si="93"/>
        <v>-1.7575563424530611</v>
      </c>
      <c r="BF189" s="159">
        <f t="shared" si="94"/>
        <v>55.646819371225916</v>
      </c>
      <c r="BH189" s="159">
        <f t="shared" si="101"/>
        <v>2.7575563424530611</v>
      </c>
      <c r="BI189" s="169">
        <f t="shared" si="102"/>
        <v>-55.646819371225916</v>
      </c>
      <c r="BN189" s="165"/>
      <c r="BO189" s="165"/>
      <c r="BP189" s="165"/>
    </row>
    <row r="190" spans="1:68" s="159" customFormat="1">
      <c r="A190" s="159">
        <v>126</v>
      </c>
      <c r="B190" s="159">
        <f t="shared" si="52"/>
        <v>33113.112148259133</v>
      </c>
      <c r="C190" s="159" t="str">
        <f t="shared" si="53"/>
        <v>208055.819724932j</v>
      </c>
      <c r="D190" s="159">
        <f t="shared" si="54"/>
        <v>0.98245634886170896</v>
      </c>
      <c r="E190" s="159" t="str">
        <f t="shared" si="55"/>
        <v>-0.208055819724932j</v>
      </c>
      <c r="F190" s="159" t="str">
        <f t="shared" si="56"/>
        <v>0.982456348861709-0.208055819724932j</v>
      </c>
      <c r="G190" s="159">
        <f t="shared" si="57"/>
        <v>3.6792190818468171E-2</v>
      </c>
      <c r="H190" s="159">
        <f t="shared" si="58"/>
        <v>-11.956932531908222</v>
      </c>
      <c r="J190" s="159">
        <f t="shared" si="59"/>
        <v>6.3936063936063938</v>
      </c>
      <c r="K190" s="159" t="str">
        <f t="shared" si="60"/>
        <v>1+50.9809577862987j</v>
      </c>
      <c r="L190" s="159">
        <f t="shared" si="61"/>
        <v>-24.431092817399882</v>
      </c>
      <c r="M190" s="159" t="str">
        <f t="shared" si="62"/>
        <v>0.557083487051599j</v>
      </c>
      <c r="N190" s="159" t="str">
        <f t="shared" si="63"/>
        <v>-24.4310928173999+0.557083487051599j</v>
      </c>
      <c r="O190" s="159" t="str">
        <f t="shared" si="64"/>
        <v>0.00664707374701798-2.08657284355986j</v>
      </c>
      <c r="P190" s="159" t="str">
        <f t="shared" si="65"/>
        <v>0.0424987732077074-13.3407254733098j</v>
      </c>
      <c r="R190" s="159">
        <f t="shared" si="66"/>
        <v>31.968031968031973</v>
      </c>
      <c r="S190" s="159" t="str">
        <f t="shared" si="67"/>
        <v>1+0.00728195369037262j</v>
      </c>
      <c r="T190" s="159" t="str">
        <f t="shared" si="68"/>
        <v>-24.4310928173999+0.557083487051599j</v>
      </c>
      <c r="U190" s="159" t="str">
        <f t="shared" si="69"/>
        <v>-0.0409033839495936-0.00123074942565843j</v>
      </c>
      <c r="V190" s="159" t="str">
        <f t="shared" si="70"/>
        <v>-1.30760068570129-0.0393446369840857j</v>
      </c>
      <c r="X190" s="159" t="str">
        <f t="shared" si="71"/>
        <v>-0.107163070787096-0.514107688858248j</v>
      </c>
      <c r="Y190" s="159">
        <f t="shared" si="72"/>
        <v>-5.5942047815135432</v>
      </c>
      <c r="Z190" s="159">
        <f t="shared" si="73"/>
        <v>78.225590682976787</v>
      </c>
      <c r="AB190" s="159" t="str">
        <f t="shared" si="74"/>
        <v>-0.57590869222695-0.0173286223228741j</v>
      </c>
      <c r="AC190" s="159">
        <f t="shared" si="75"/>
        <v>-4.7889971865268661</v>
      </c>
      <c r="AD190" s="159">
        <f t="shared" si="76"/>
        <v>1.7234632317475871</v>
      </c>
      <c r="AF190" s="159" t="str">
        <f t="shared" si="77"/>
        <v>-0.476025125000931-0.293510259938041j</v>
      </c>
      <c r="AG190" s="159">
        <f t="shared" si="78"/>
        <v>-5.048051918416169</v>
      </c>
      <c r="AH190" s="159">
        <f t="shared" si="79"/>
        <v>31.657387844080006</v>
      </c>
      <c r="AJ190" s="159" t="str">
        <f t="shared" si="80"/>
        <v>59812.2414489515-76439.0201471878j</v>
      </c>
      <c r="AK190" s="159" t="str">
        <f t="shared" si="81"/>
        <v>30000-0.000187250237752439j</v>
      </c>
      <c r="AL190" s="159" t="str">
        <f t="shared" si="95"/>
        <v>10000-106808.943155745j</v>
      </c>
      <c r="AM190" s="159" t="str">
        <f t="shared" si="96"/>
        <v>959.14030886728-33209.5338244979j</v>
      </c>
      <c r="AN190" s="159" t="str">
        <f t="shared" si="97"/>
        <v>10959.1403088673-33209.5338244979j</v>
      </c>
      <c r="AO190" s="159" t="str">
        <f t="shared" si="98"/>
        <v>16742.3469986111-10749.2606382868j</v>
      </c>
      <c r="AP190" s="159" t="str">
        <f t="shared" si="99"/>
        <v>0.193711681009001+0.16486762491983j</v>
      </c>
      <c r="AQ190" s="159" t="str">
        <f t="shared" si="82"/>
        <v>1+20.7847763905207j</v>
      </c>
      <c r="AR190" s="159">
        <f t="shared" si="83"/>
        <v>-6.4765905345937983E-5</v>
      </c>
      <c r="AS190" s="159" t="str">
        <f t="shared" si="84"/>
        <v>0.000566950028192242j</v>
      </c>
      <c r="AT190" s="159" t="str">
        <f t="shared" si="85"/>
        <v>-0.000064765905345938+0.000566950028192242j</v>
      </c>
      <c r="AU190" s="159" t="str">
        <f t="shared" si="86"/>
        <v>5.39843066029396-0.881266821265227j</v>
      </c>
      <c r="AW190" s="159" t="str">
        <f t="shared" si="100"/>
        <v>1.26962534632016+0.536107606193595j</v>
      </c>
      <c r="AX190" s="159">
        <f t="shared" si="87"/>
        <v>2.7860726144648207</v>
      </c>
      <c r="AY190" s="159">
        <f t="shared" si="88"/>
        <v>-157.10777958088534</v>
      </c>
      <c r="AZ190" s="159" t="str">
        <f t="shared" si="89"/>
        <v>-0.721898266585283-0.330749888493804j</v>
      </c>
      <c r="BA190" s="159">
        <f t="shared" si="90"/>
        <v>-2.0029245720620454</v>
      </c>
      <c r="BB190" s="159">
        <f t="shared" si="91"/>
        <v>24.615683650862252</v>
      </c>
      <c r="BD190" s="159" t="str">
        <f t="shared" si="92"/>
        <v>-0.447020481337762-0.627848755674611j</v>
      </c>
      <c r="BE190" s="159">
        <f t="shared" si="93"/>
        <v>-2.2619793039513496</v>
      </c>
      <c r="BF190" s="159">
        <f t="shared" si="94"/>
        <v>54.549608263194628</v>
      </c>
      <c r="BH190" s="159">
        <f t="shared" si="101"/>
        <v>3.2619793039513496</v>
      </c>
      <c r="BI190" s="169">
        <f t="shared" si="102"/>
        <v>-54.549608263194628</v>
      </c>
      <c r="BN190" s="165"/>
      <c r="BO190" s="165"/>
      <c r="BP190" s="165"/>
    </row>
    <row r="191" spans="1:68" s="159" customFormat="1">
      <c r="A191" s="159">
        <v>127</v>
      </c>
      <c r="B191" s="159">
        <f t="shared" si="52"/>
        <v>34673.68504525318</v>
      </c>
      <c r="C191" s="159" t="str">
        <f t="shared" si="53"/>
        <v>217861.188422107j</v>
      </c>
      <c r="D191" s="159">
        <f t="shared" si="54"/>
        <v>0.98076376904612139</v>
      </c>
      <c r="E191" s="159" t="str">
        <f t="shared" si="55"/>
        <v>-0.217861188422107j</v>
      </c>
      <c r="F191" s="159" t="str">
        <f t="shared" si="56"/>
        <v>0.980763769046121-0.217861188422107j</v>
      </c>
      <c r="G191" s="159">
        <f t="shared" si="57"/>
        <v>4.0465496170932376E-2</v>
      </c>
      <c r="H191" s="159">
        <f t="shared" si="58"/>
        <v>-12.524002384249663</v>
      </c>
      <c r="J191" s="159">
        <f t="shared" si="59"/>
        <v>6.3936063936063938</v>
      </c>
      <c r="K191" s="159" t="str">
        <f t="shared" si="60"/>
        <v>1+53.383616305011j</v>
      </c>
      <c r="L191" s="159">
        <f t="shared" si="61"/>
        <v>-26.884638778372338</v>
      </c>
      <c r="M191" s="159" t="str">
        <f t="shared" si="62"/>
        <v>0.583338022939471j</v>
      </c>
      <c r="N191" s="159" t="str">
        <f t="shared" si="63"/>
        <v>-26.8846387783723+0.583338022939471j</v>
      </c>
      <c r="O191" s="159" t="str">
        <f t="shared" si="64"/>
        <v>0.00588564881150799-1.98552725302793j</v>
      </c>
      <c r="P191" s="159" t="str">
        <f t="shared" si="65"/>
        <v>0.0376305218717794-12.6946797396391j</v>
      </c>
      <c r="R191" s="159">
        <f t="shared" si="66"/>
        <v>31.968031968031973</v>
      </c>
      <c r="S191" s="159" t="str">
        <f t="shared" si="67"/>
        <v>1+0.00762514159477374j</v>
      </c>
      <c r="T191" s="159" t="str">
        <f t="shared" si="68"/>
        <v>-26.8846387783723+0.583338022939471j</v>
      </c>
      <c r="U191" s="159" t="str">
        <f t="shared" si="69"/>
        <v>-0.0371723073295781-0.00109018246821625j</v>
      </c>
      <c r="V191" s="159" t="str">
        <f t="shared" si="70"/>
        <v>-1.18832550903746-0.0348509879949251j</v>
      </c>
      <c r="X191" s="159" t="str">
        <f t="shared" si="71"/>
        <v>-0.106963510786425-0.488360509088881j</v>
      </c>
      <c r="Y191" s="159">
        <f t="shared" si="72"/>
        <v>-6.0216913546694091</v>
      </c>
      <c r="Z191" s="159">
        <f t="shared" si="73"/>
        <v>77.645837565501253</v>
      </c>
      <c r="AB191" s="159" t="str">
        <f t="shared" si="74"/>
        <v>-0.523376132586417-0.0153494772054284j</v>
      </c>
      <c r="AC191" s="159">
        <f t="shared" si="75"/>
        <v>-5.6199878749696675</v>
      </c>
      <c r="AD191" s="159">
        <f t="shared" si="76"/>
        <v>1.6798783697088595</v>
      </c>
      <c r="AF191" s="159" t="str">
        <f t="shared" si="77"/>
        <v>-0.443912544652167-0.25994327925741j</v>
      </c>
      <c r="AG191" s="159">
        <f t="shared" si="78"/>
        <v>-5.7736280111103211</v>
      </c>
      <c r="AH191" s="159">
        <f t="shared" si="79"/>
        <v>30.352095324659018</v>
      </c>
      <c r="AJ191" s="159" t="str">
        <f t="shared" si="80"/>
        <v>56435.1821058219-75522.2576618951j</v>
      </c>
      <c r="AK191" s="159" t="str">
        <f t="shared" si="81"/>
        <v>30000-0.000196075069579896j</v>
      </c>
      <c r="AL191" s="159" t="str">
        <f t="shared" si="95"/>
        <v>10000-102001.748834522j</v>
      </c>
      <c r="AM191" s="159" t="str">
        <f t="shared" si="96"/>
        <v>958.756266383232-31720.5386733487j</v>
      </c>
      <c r="AN191" s="159" t="str">
        <f t="shared" si="97"/>
        <v>10958.7562663832-31720.5386733487j</v>
      </c>
      <c r="AO191" s="159" t="str">
        <f t="shared" si="98"/>
        <v>16264.7320759271-10637.2882394278j</v>
      </c>
      <c r="AP191" s="159" t="str">
        <f t="shared" si="99"/>
        <v>0.196821551786998+0.171971729888763j</v>
      </c>
      <c r="AQ191" s="159" t="str">
        <f t="shared" si="82"/>
        <v>1+21.7643327233685j</v>
      </c>
      <c r="AR191" s="159">
        <f t="shared" si="83"/>
        <v>-7.1024050884908174E-5</v>
      </c>
      <c r="AS191" s="159" t="str">
        <f t="shared" si="84"/>
        <v>0.000593669559838357j</v>
      </c>
      <c r="AT191" s="159" t="str">
        <f t="shared" si="85"/>
        <v>-0.0000710240508849082+0.000593669559838357j</v>
      </c>
      <c r="AU191" s="159" t="str">
        <f t="shared" si="86"/>
        <v>5.39170509503659-0.897706018768093j</v>
      </c>
      <c r="AW191" s="159" t="str">
        <f t="shared" si="100"/>
        <v>1.30067556149443+0.554026496286797j</v>
      </c>
      <c r="AX191" s="159">
        <f t="shared" si="87"/>
        <v>3.0074810676612378</v>
      </c>
      <c r="AY191" s="159">
        <f t="shared" si="88"/>
        <v>-156.92828074224687</v>
      </c>
      <c r="AZ191" s="159" t="str">
        <f t="shared" si="89"/>
        <v>-0.672238528048664-0.309928934859803j</v>
      </c>
      <c r="BA191" s="159">
        <f t="shared" si="90"/>
        <v>-2.612506807308427</v>
      </c>
      <c r="BB191" s="159">
        <f t="shared" si="91"/>
        <v>24.751597627461962</v>
      </c>
      <c r="BD191" s="159" t="str">
        <f t="shared" si="92"/>
        <v>-0.433370734029595-0.584041182476231j</v>
      </c>
      <c r="BE191" s="159">
        <f t="shared" si="93"/>
        <v>-2.7661469434490931</v>
      </c>
      <c r="BF191" s="159">
        <f t="shared" si="94"/>
        <v>53.423814582412135</v>
      </c>
      <c r="BH191" s="159">
        <f t="shared" si="101"/>
        <v>3.7661469434490931</v>
      </c>
      <c r="BI191" s="169">
        <f t="shared" si="102"/>
        <v>-53.423814582412135</v>
      </c>
      <c r="BN191" s="165"/>
      <c r="BO191" s="165"/>
      <c r="BP191" s="165"/>
    </row>
    <row r="192" spans="1:68" s="159" customFormat="1">
      <c r="A192" s="159">
        <v>128</v>
      </c>
      <c r="B192" s="159">
        <f t="shared" ref="B192:B255" si="103">Fstart*10^(Step*A192)</f>
        <v>36307.805477010152</v>
      </c>
      <c r="C192" s="159" t="str">
        <f t="shared" ref="C192:C255" si="104">COMPLEX(0,2*PI()*B192,"j")</f>
        <v>228128.669909085j</v>
      </c>
      <c r="D192" s="159">
        <f t="shared" ref="D192:D255" si="105">(IMPRODUCT(C192,C192))/wn^2 + 1</f>
        <v>0.97890789218309737</v>
      </c>
      <c r="E192" s="159" t="str">
        <f t="shared" ref="E192:E255" si="106">IMDIV(C192,wn*Qn)</f>
        <v>-0.228128669909085j</v>
      </c>
      <c r="F192" s="159" t="str">
        <f t="shared" ref="F192:F255" si="107">IMSUM(D192,E192)</f>
        <v>0.978907892183097-0.228128669909085j</v>
      </c>
      <c r="G192" s="159">
        <f t="shared" ref="G192:G255" si="108">20*LOG(IMABS(F192),10)</f>
        <v>4.4517936481275389E-2</v>
      </c>
      <c r="H192" s="159">
        <f t="shared" ref="H192:H255" si="109">(IMARGUMENT(F192)*(180/PI()))</f>
        <v>-13.118302956365682</v>
      </c>
      <c r="J192" s="159">
        <f t="shared" ref="J192:J255" si="110">Vin/(Rout+DCR/1000)</f>
        <v>6.3936063936063938</v>
      </c>
      <c r="K192" s="159" t="str">
        <f t="shared" ref="K192:K255" si="111">IMSUM(1,IMPRODUCT(C192,ncap*(Cap*10^-6)*(Rout+(ESR/(ncap*1000)))))</f>
        <v>1+55.8995086311726j</v>
      </c>
      <c r="L192" s="159">
        <f t="shared" ref="L192:L255" si="112">(IMPRODUCT(C192,C192))/Gdo^2 + 1</f>
        <v>-29.574898427814205</v>
      </c>
      <c r="M192" s="159" t="str">
        <f t="shared" ref="M192:M255" si="113">IMDIV(C192,Q*Gdo)</f>
        <v>0.610829896983492j</v>
      </c>
      <c r="N192" s="159" t="str">
        <f t="shared" ref="N192:N255" si="114">IMSUM(L192,M192)</f>
        <v>-29.5748984278142+0.610829896983492j</v>
      </c>
      <c r="O192" s="159" t="str">
        <f t="shared" ref="O192:O255" si="115">IMDIV(K192,N192)</f>
        <v>0.00522279244111646-1.88999189734614j</v>
      </c>
      <c r="P192" s="159" t="str">
        <f t="shared" ref="P192:P255" si="116">IMPRODUCT(J192,O192)</f>
        <v>0.0333924791440013-12.0838642787366j</v>
      </c>
      <c r="R192" s="159">
        <f t="shared" ref="R192:R255" si="117">Vin/(1+((DCR*10^-3)/Rout))</f>
        <v>31.968031968031973</v>
      </c>
      <c r="S192" s="159" t="str">
        <f t="shared" ref="S192:S255" si="118">IMSUM(1,IMPRODUCT(C192,ncap*(Cap*10^-6)*(ESR/(ncap*1000))))</f>
        <v>1+0.00798450344681797j</v>
      </c>
      <c r="T192" s="159" t="str">
        <f t="shared" ref="T192:T255" si="119">IMSUM(L192,M192)</f>
        <v>-29.5748984278142+0.610829896983492j</v>
      </c>
      <c r="U192" s="159" t="str">
        <f t="shared" ref="U192:U255" si="120">IMDIV(S192,T192)</f>
        <v>-0.033792466667346-0.000967913801966917j</v>
      </c>
      <c r="V192" s="159" t="str">
        <f t="shared" ref="V192:V255" si="121">IMPRODUCT(R192,U192)</f>
        <v>-1.08027865470037-0.0309422993635778j</v>
      </c>
      <c r="X192" s="159" t="str">
        <f t="shared" ref="X192:X255" si="122">IMPRODUCT(Fm,Dmax,P192,F192)</f>
        <v>-0.106775999747538-0.46397626180204j</v>
      </c>
      <c r="Y192" s="159">
        <f t="shared" ref="Y192:Y255" si="123">20*LOG(IMABS(X192),10)</f>
        <v>-6.4459621152147957</v>
      </c>
      <c r="Z192" s="159">
        <f t="shared" ref="Z192:Z255" si="124">IF((IMARGUMENT(X192)*(180/PI()))&lt;0,(IMARGUMENT(X192)*(180/PI()))+180,(IMARGUMENT(X192)*(180/PI()))-180)</f>
        <v>77.040027459157415</v>
      </c>
      <c r="AB192" s="159" t="str">
        <f t="shared" ref="AB192:AB255" si="125">IMPRODUCT(Fm,V192)</f>
        <v>-0.475788881171711-0.0136279671277594j</v>
      </c>
      <c r="AC192" s="159">
        <f t="shared" ref="AC192:AC255" si="126">20*LOG(IMABS(AB192),10)</f>
        <v>-6.4481526701367109</v>
      </c>
      <c r="AD192" s="159">
        <f t="shared" ref="AD192:AD255" si="127">IF((IMARGUMENT(AB192)*(180/PI()))&lt;0,(IMARGUMENT(AB192)*(180/PI()))+180,(IMARGUMENT(AB192)*(180/PI()))-180)</f>
        <v>1.640667956309926</v>
      </c>
      <c r="AF192" s="159" t="str">
        <f t="shared" ref="AF192:AF255" si="128">IMDIV(AB192,IMSUM(1,X192))</f>
        <v>-0.413240010220167-0.229910439306048j</v>
      </c>
      <c r="AG192" s="159">
        <f t="shared" ref="AG192:AG255" si="129">20*LOG(IMABS(AF192),10)</f>
        <v>-6.5047747879574578</v>
      </c>
      <c r="AH192" s="159">
        <f t="shared" ref="AH192:AH255" si="130">IF((IMARGUMENT(AF192)*(180/PI()))&lt;0,(IMARGUMENT(AF192)*(180/PI()))+180,(IMARGUMENT(AF192)*(180/PI()))-180)</f>
        <v>29.089836816587962</v>
      </c>
      <c r="AJ192" s="159" t="str">
        <f t="shared" ref="AJ192:AJ255" si="131">IMDIV(_Rfb1,IMSUM(1,IMPRODUCT(C192,_Cfb1*_Rfb1)))</f>
        <v>53145.0635666338-74471.1335367153j</v>
      </c>
      <c r="AK192" s="159" t="str">
        <f t="shared" ref="AK192:AK255" si="132">IMDIV(_Rfb2,IMSUM(1,IMPRODUCT(C192,_Cfb2*_Rfb2)))</f>
        <v>30000-0.000205315802918176j</v>
      </c>
      <c r="AL192" s="159" t="str">
        <f t="shared" si="95"/>
        <v>10000-97410.9138981891j</v>
      </c>
      <c r="AM192" s="159" t="str">
        <f t="shared" si="96"/>
        <v>958.335525499508-30298.8220469838j</v>
      </c>
      <c r="AN192" s="159" t="str">
        <f t="shared" si="97"/>
        <v>10958.3355254995-30298.8220469838j</v>
      </c>
      <c r="AO192" s="159" t="str">
        <f t="shared" si="98"/>
        <v>15798.1016880433-10505.8172693996j</v>
      </c>
      <c r="AP192" s="159" t="str">
        <f t="shared" si="99"/>
        <v>0.200204000365021+0.179318146405753j</v>
      </c>
      <c r="AQ192" s="159" t="str">
        <f t="shared" ref="AQ192:AQ255" si="133">IMSUM(1,IMPRODUCT(C192,_res1*_Cap1))</f>
        <v>1+22.7900541239176j</v>
      </c>
      <c r="AR192" s="159">
        <f t="shared" ref="AR192:AR255" si="134">(IMPRODUCT(C192,C192))*_res1*_Cap1*_cap2 + (1/Roerr)</f>
        <v>-7.7885971016680708E-5</v>
      </c>
      <c r="AS192" s="159" t="str">
        <f t="shared" ref="AS192:AS255" si="135">IMPRODUCT(C192,(_Cap1+_cap2+(_Cap1*_res1/Roerr)))</f>
        <v>0.000621648344215558j</v>
      </c>
      <c r="AT192" s="159" t="str">
        <f t="shared" ref="AT192:AT255" si="136">IMSUM(AR192,AS192)</f>
        <v>-0.0000778859710166807+0.000621648344215558j</v>
      </c>
      <c r="AU192" s="159" t="str">
        <f t="shared" ref="AU192:AU255" si="137">IMPRODUCT(EA_BW,IMDIV(AQ192,AT192))</f>
        <v>5.38435062566847-0.91589623309128j</v>
      </c>
      <c r="AW192" s="159" t="str">
        <f t="shared" si="100"/>
        <v>1.33410915039466+0.571117122917098j</v>
      </c>
      <c r="AX192" s="159">
        <f t="shared" ref="AX192:AX255" si="138">20*LOG(IMABS(AW192),10)</f>
        <v>3.2346290222448548</v>
      </c>
      <c r="AY192" s="159">
        <f t="shared" ref="AY192:AY255" si="139">IF((IMARGUMENT(AW192)*(180/PI()))&lt;0,(IMARGUMENT(AW192)*(180/PI()))+180,(IMARGUMENT(AW192)*(180/PI()))-180)</f>
        <v>-156.82477749350667</v>
      </c>
      <c r="AZ192" s="159" t="str">
        <f t="shared" ref="AZ192:AZ255" si="140">IMPRODUCT(AW192,Fm,V192)</f>
        <v>-0.626971134650003-0.289912372577154j</v>
      </c>
      <c r="BA192" s="159">
        <f t="shared" ref="BA192:BA255" si="141">20*LOG(IMABS(AZ192),10)</f>
        <v>-3.213523647891849</v>
      </c>
      <c r="BB192" s="159">
        <f t="shared" ref="BB192:BB255" si="142">IF((IMARGUMENT(AZ192)*(180/PI()))&lt;0,(IMARGUMENT(AZ192)*(180/PI()))+180,(IMARGUMENT(AZ192)*(180/PI()))-180)</f>
        <v>24.815890462803253</v>
      </c>
      <c r="BD192" s="159" t="str">
        <f t="shared" ref="BD192:BD255" si="143">IMDIV(AZ192,IMSUM(1,X192))</f>
        <v>-0.420001490318832-0.542734066560629j</v>
      </c>
      <c r="BE192" s="159">
        <f t="shared" ref="BE192:BE255" si="144">20*LOG(IMABS(BD192),10)</f>
        <v>-3.2701457657125954</v>
      </c>
      <c r="BF192" s="159">
        <f t="shared" ref="BF192:BF255" si="145">IF((IMARGUMENT(BD192)*(180/PI()))&lt;0,(IMARGUMENT(BD192)*(180/PI()))+180,(IMARGUMENT(BD192)*(180/PI()))-180)</f>
        <v>52.265059323081289</v>
      </c>
      <c r="BH192" s="159">
        <f t="shared" si="101"/>
        <v>4.270145765712595</v>
      </c>
      <c r="BI192" s="169">
        <f t="shared" si="102"/>
        <v>-52.265059323081289</v>
      </c>
      <c r="BN192" s="165"/>
      <c r="BO192" s="165"/>
      <c r="BP192" s="165"/>
    </row>
    <row r="193" spans="1:68" s="159" customFormat="1">
      <c r="A193" s="159">
        <v>129</v>
      </c>
      <c r="B193" s="159">
        <f t="shared" si="103"/>
        <v>38018.939632056165</v>
      </c>
      <c r="C193" s="159" t="str">
        <f t="shared" si="104"/>
        <v>238880.042890683j</v>
      </c>
      <c r="D193" s="159">
        <f t="shared" si="105"/>
        <v>0.97687296366806509</v>
      </c>
      <c r="E193" s="159" t="str">
        <f t="shared" si="106"/>
        <v>-0.238880042890683j</v>
      </c>
      <c r="F193" s="159" t="str">
        <f t="shared" si="107"/>
        <v>0.976872963668065-0.238880042890683j</v>
      </c>
      <c r="G193" s="159">
        <f t="shared" si="108"/>
        <v>4.8991006776913648E-2</v>
      </c>
      <c r="H193" s="159">
        <f t="shared" si="109"/>
        <v>-13.741186950133629</v>
      </c>
      <c r="J193" s="159">
        <f t="shared" si="110"/>
        <v>6.3936063936063938</v>
      </c>
      <c r="K193" s="159" t="str">
        <f t="shared" si="111"/>
        <v>1+58.5339713097185j</v>
      </c>
      <c r="L193" s="159">
        <f t="shared" si="112"/>
        <v>-32.524709475390743</v>
      </c>
      <c r="M193" s="159" t="str">
        <f t="shared" si="113"/>
        <v>0.639617423134404j</v>
      </c>
      <c r="N193" s="159" t="str">
        <f t="shared" si="114"/>
        <v>-32.5247094753907+0.639617423134404j</v>
      </c>
      <c r="O193" s="159" t="str">
        <f t="shared" si="115"/>
        <v>0.00464404901694713-1.7995856639193j</v>
      </c>
      <c r="P193" s="159" t="str">
        <f t="shared" si="116"/>
        <v>0.0296922214869747-11.5058424066768j</v>
      </c>
      <c r="R193" s="159">
        <f t="shared" si="117"/>
        <v>31.968031968031973</v>
      </c>
      <c r="S193" s="159" t="str">
        <f t="shared" si="118"/>
        <v>1+0.0083608015011739j</v>
      </c>
      <c r="T193" s="159" t="str">
        <f t="shared" si="119"/>
        <v>-32.5247094753907+0.639617423134404j</v>
      </c>
      <c r="U193" s="159" t="str">
        <f t="shared" si="120"/>
        <v>-0.0307289157667015-0.000861362080444814j</v>
      </c>
      <c r="V193" s="159" t="str">
        <f t="shared" si="121"/>
        <v>-0.982342961572875-0.0275360505237103j</v>
      </c>
      <c r="X193" s="159" t="str">
        <f t="shared" si="122"/>
        <v>-0.106600503558101-0.440858266148463j</v>
      </c>
      <c r="Y193" s="159">
        <f t="shared" si="123"/>
        <v>-6.8672416372242031</v>
      </c>
      <c r="Z193" s="159">
        <f t="shared" si="124"/>
        <v>76.406671428151839</v>
      </c>
      <c r="AB193" s="159" t="str">
        <f t="shared" si="125"/>
        <v>-0.432654904898866-0.012127747422907j</v>
      </c>
      <c r="AC193" s="159">
        <f t="shared" si="126"/>
        <v>-7.2737562976038364</v>
      </c>
      <c r="AD193" s="159">
        <f t="shared" si="127"/>
        <v>1.6056372540819552</v>
      </c>
      <c r="AF193" s="159" t="str">
        <f t="shared" si="128"/>
        <v>-0.38406033818599-0.203093826372863j</v>
      </c>
      <c r="AG193" s="159">
        <f t="shared" si="129"/>
        <v>-7.2411431513827456</v>
      </c>
      <c r="AH193" s="159">
        <f t="shared" si="130"/>
        <v>27.870203067898132</v>
      </c>
      <c r="AJ193" s="159" t="str">
        <f t="shared" si="131"/>
        <v>49951.9520988882-73295.5314946639j</v>
      </c>
      <c r="AK193" s="159" t="str">
        <f t="shared" si="132"/>
        <v>30000-0.000214992038601615j</v>
      </c>
      <c r="AL193" s="159" t="str">
        <f t="shared" ref="AL193:AL256" si="146">IMDIV(IMSUM(1,IMPRODUCT(C193,10000,0.000000000045)),IMPRODUCT(C193,0.000000000045))</f>
        <v>10000-93026.7005703431j</v>
      </c>
      <c r="AM193" s="159" t="str">
        <f t="shared" ref="AM193:AM256" si="147">IMDIV(AL193,IMSUM(1,IMPRODUCT(C193,AL193,0.0000000001)))</f>
        <v>957.874616525515-28941.3675620138j</v>
      </c>
      <c r="AN193" s="159" t="str">
        <f t="shared" ref="AN193:AN256" si="148">IMSUM(10000,AM193)</f>
        <v>10957.8746165255-28941.3675620138j</v>
      </c>
      <c r="AO193" s="159" t="str">
        <f t="shared" ref="AO193:AO256" si="149">IMDIV(IMPRODUCT(AN193,AK193),IMSUM(AN193,AK193))</f>
        <v>15343.9819932449-10356.1331528388j</v>
      </c>
      <c r="AP193" s="159" t="str">
        <f t="shared" ref="AP193:AP256" si="150">IMDIV(AK193,IMSUM(AJ193,AK193))</f>
        <v>0.203880187310294+0.186906087052101j</v>
      </c>
      <c r="AQ193" s="159" t="str">
        <f t="shared" si="133"/>
        <v>1+23.8641162847792j</v>
      </c>
      <c r="AR193" s="159">
        <f t="shared" si="134"/>
        <v>-8.5409916824844581E-5</v>
      </c>
      <c r="AS193" s="159" t="str">
        <f t="shared" si="135"/>
        <v>0.000650945728076682j</v>
      </c>
      <c r="AT193" s="159" t="str">
        <f t="shared" si="136"/>
        <v>-0.0000854099168248446+0.000650945728076682j</v>
      </c>
      <c r="AU193" s="159" t="str">
        <f t="shared" si="137"/>
        <v>5.37631030147284-0.935854080298362j</v>
      </c>
      <c r="AW193" s="159" t="str">
        <f t="shared" ref="AW193:AW256" si="151">IMDIV(IMPRODUCT(AP193,AU193),IMPRODUCT(IMSUM(1,IMPRODUCT(C193,1/1500000)),IMSUM(1,IMPRODUCT(C193,1/35000000))))</f>
        <v>1.37004480442098+0.587166228665343j</v>
      </c>
      <c r="AX193" s="159">
        <f t="shared" si="138"/>
        <v>3.4670241080496722</v>
      </c>
      <c r="AY193" s="159">
        <f t="shared" si="139"/>
        <v>-156.80126216938859</v>
      </c>
      <c r="AZ193" s="159" t="str">
        <f t="shared" si="140"/>
        <v>-0.58563560084743-0.270655906169113j</v>
      </c>
      <c r="BA193" s="159">
        <f t="shared" si="141"/>
        <v>-3.8067321895541721</v>
      </c>
      <c r="BB193" s="159">
        <f t="shared" si="142"/>
        <v>24.804375084693334</v>
      </c>
      <c r="BD193" s="159" t="str">
        <f t="shared" si="143"/>
        <v>-0.406930034819311-0.503754901984721j</v>
      </c>
      <c r="BE193" s="159">
        <f t="shared" si="144"/>
        <v>-3.7741190433330907</v>
      </c>
      <c r="BF193" s="159">
        <f t="shared" si="145"/>
        <v>51.068940898509595</v>
      </c>
      <c r="BH193" s="159">
        <f t="shared" ref="BH193:BH256" si="152">1-BE193</f>
        <v>4.7741190433330907</v>
      </c>
      <c r="BI193" s="169">
        <f t="shared" ref="BI193:BI256" si="153">+-1*BF193</f>
        <v>-51.068940898509595</v>
      </c>
      <c r="BN193" s="165"/>
      <c r="BO193" s="165"/>
      <c r="BP193" s="165"/>
    </row>
    <row r="194" spans="1:68" s="159" customFormat="1">
      <c r="A194" s="159">
        <v>130</v>
      </c>
      <c r="B194" s="159">
        <f t="shared" si="103"/>
        <v>39810.717055349764</v>
      </c>
      <c r="C194" s="159" t="str">
        <f t="shared" si="104"/>
        <v>250138.112470457j</v>
      </c>
      <c r="D194" s="159">
        <f t="shared" si="105"/>
        <v>0.97464170892062219</v>
      </c>
      <c r="E194" s="159" t="str">
        <f t="shared" si="106"/>
        <v>-0.250138112470457j</v>
      </c>
      <c r="F194" s="159" t="str">
        <f t="shared" si="107"/>
        <v>0.974641708920622-0.250138112470457j</v>
      </c>
      <c r="G194" s="159">
        <f t="shared" si="108"/>
        <v>5.3931171598235503E-2</v>
      </c>
      <c r="H194" s="159">
        <f t="shared" si="109"/>
        <v>-14.394079664411857</v>
      </c>
      <c r="J194" s="159">
        <f t="shared" si="110"/>
        <v>6.3936063936063938</v>
      </c>
      <c r="K194" s="159" t="str">
        <f t="shared" si="111"/>
        <v>1+61.2925923891984j</v>
      </c>
      <c r="L194" s="159">
        <f t="shared" si="112"/>
        <v>-35.759112971800668</v>
      </c>
      <c r="M194" s="159" t="str">
        <f t="shared" si="113"/>
        <v>0.669761663594785j</v>
      </c>
      <c r="N194" s="159" t="str">
        <f t="shared" si="114"/>
        <v>-35.7591129718007+0.669761663594785j</v>
      </c>
      <c r="O194" s="159" t="str">
        <f t="shared" si="115"/>
        <v>0.0041373278804187-1.71396369406386j</v>
      </c>
      <c r="P194" s="159" t="str">
        <f t="shared" si="116"/>
        <v>0.026452445988691-10.9584092327759j</v>
      </c>
      <c r="R194" s="159">
        <f t="shared" si="117"/>
        <v>31.968031968031973</v>
      </c>
      <c r="S194" s="159" t="str">
        <f t="shared" si="118"/>
        <v>1+0.008754833936466j</v>
      </c>
      <c r="T194" s="159" t="str">
        <f t="shared" si="119"/>
        <v>-35.7591129718007+0.669761663594785j</v>
      </c>
      <c r="U194" s="159" t="str">
        <f t="shared" si="120"/>
        <v>-0.0279505086942029-0.000768335980802498j</v>
      </c>
      <c r="V194" s="159" t="str">
        <f t="shared" si="121"/>
        <v>-0.893522755459034-0.0245621891964835j</v>
      </c>
      <c r="X194" s="159" t="str">
        <f t="shared" si="122"/>
        <v>-0.106436793136386-0.418918922055438j</v>
      </c>
      <c r="Y194" s="159">
        <f t="shared" si="123"/>
        <v>-7.2857232190333701</v>
      </c>
      <c r="Z194" s="159">
        <f t="shared" si="124"/>
        <v>75.744226045568112</v>
      </c>
      <c r="AB194" s="159" t="str">
        <f t="shared" si="125"/>
        <v>-0.393535677365794-0.0108179648520077j</v>
      </c>
      <c r="AC194" s="159">
        <f t="shared" si="126"/>
        <v>-8.0970372566799433</v>
      </c>
      <c r="AD194" s="159">
        <f t="shared" si="127"/>
        <v>1.5746162578442409</v>
      </c>
      <c r="AF194" s="159" t="str">
        <f t="shared" si="128"/>
        <v>-0.356402042225671-0.179194401660253j</v>
      </c>
      <c r="AG194" s="159">
        <f t="shared" si="129"/>
        <v>-7.9823961524160243</v>
      </c>
      <c r="AH194" s="159">
        <f t="shared" si="130"/>
        <v>26.692666682225763</v>
      </c>
      <c r="AJ194" s="159" t="str">
        <f t="shared" si="131"/>
        <v>46864.5339607098-72006.1077649478j</v>
      </c>
      <c r="AK194" s="159" t="str">
        <f t="shared" si="132"/>
        <v>30000-0.000225124301223411j</v>
      </c>
      <c r="AL194" s="159" t="str">
        <f t="shared" si="146"/>
        <v>10000-88839.8093467134j</v>
      </c>
      <c r="AM194" s="159" t="str">
        <f t="shared" si="147"/>
        <v>957.369749185662-27645.2950371862j</v>
      </c>
      <c r="AN194" s="159" t="str">
        <f t="shared" si="148"/>
        <v>10957.3697491857-27645.2950371862j</v>
      </c>
      <c r="AO194" s="159" t="str">
        <f t="shared" si="149"/>
        <v>14903.7149323257-10189.649782899j</v>
      </c>
      <c r="AP194" s="159" t="str">
        <f t="shared" si="150"/>
        <v>0.207872398496423+0.194733271352631j</v>
      </c>
      <c r="AQ194" s="159" t="str">
        <f t="shared" si="133"/>
        <v>1+24.9887974357987j</v>
      </c>
      <c r="AR194" s="159">
        <f t="shared" si="134"/>
        <v>-9.3659759352459078E-5</v>
      </c>
      <c r="AS194" s="159" t="str">
        <f t="shared" si="135"/>
        <v>0.000681623855100871j</v>
      </c>
      <c r="AT194" s="159" t="str">
        <f t="shared" si="136"/>
        <v>-0.0000936597593524591+0.000681623855100871j</v>
      </c>
      <c r="AU194" s="159" t="str">
        <f t="shared" si="137"/>
        <v>5.36752242051132-0.957596852486076j</v>
      </c>
      <c r="AW194" s="159" t="str">
        <f t="shared" si="151"/>
        <v>1.40859385002272+0.601932342607319j</v>
      </c>
      <c r="AX194" s="159">
        <f t="shared" si="138"/>
        <v>3.7041300333174116</v>
      </c>
      <c r="AY194" s="159">
        <f t="shared" si="139"/>
        <v>-156.86159901045176</v>
      </c>
      <c r="AZ194" s="159" t="str">
        <f t="shared" si="140"/>
        <v>-0.547820251976369-0.25211997093665j</v>
      </c>
      <c r="BA194" s="159">
        <f t="shared" si="141"/>
        <v>-4.3929072233625508</v>
      </c>
      <c r="BB194" s="159">
        <f t="shared" si="142"/>
        <v>24.713017247392514</v>
      </c>
      <c r="BD194" s="159" t="str">
        <f t="shared" si="143"/>
        <v>-0.394162818841144-0.466942048324063j</v>
      </c>
      <c r="BE194" s="159">
        <f t="shared" si="144"/>
        <v>-4.2782661190986362</v>
      </c>
      <c r="BF194" s="159">
        <f t="shared" si="145"/>
        <v>49.831067671774008</v>
      </c>
      <c r="BH194" s="159">
        <f t="shared" si="152"/>
        <v>5.2782661190986362</v>
      </c>
      <c r="BI194" s="169">
        <f t="shared" si="153"/>
        <v>-49.831067671774008</v>
      </c>
      <c r="BN194" s="165"/>
      <c r="BO194" s="165"/>
      <c r="BP194" s="165"/>
    </row>
    <row r="195" spans="1:68" s="159" customFormat="1">
      <c r="A195" s="159">
        <v>131</v>
      </c>
      <c r="B195" s="159">
        <f t="shared" si="103"/>
        <v>41686.938347033574</v>
      </c>
      <c r="C195" s="159" t="str">
        <f t="shared" si="104"/>
        <v>261926.758523383j</v>
      </c>
      <c r="D195" s="159">
        <f t="shared" si="105"/>
        <v>0.97219518674000982</v>
      </c>
      <c r="E195" s="159" t="str">
        <f t="shared" si="106"/>
        <v>-0.261926758523383j</v>
      </c>
      <c r="F195" s="159" t="str">
        <f t="shared" si="107"/>
        <v>0.97219518674001-0.261926758523383j</v>
      </c>
      <c r="G195" s="159">
        <f t="shared" si="108"/>
        <v>5.9390530633325368E-2</v>
      </c>
      <c r="H195" s="159">
        <f t="shared" si="109"/>
        <v>-15.078483359218767</v>
      </c>
      <c r="J195" s="159">
        <f t="shared" si="110"/>
        <v>6.3936063936063938</v>
      </c>
      <c r="K195" s="159" t="str">
        <f t="shared" si="111"/>
        <v>1+64.1812232747772j</v>
      </c>
      <c r="L195" s="159">
        <f t="shared" si="112"/>
        <v>-39.305565883143792</v>
      </c>
      <c r="M195" s="159" t="str">
        <f t="shared" si="113"/>
        <v>0.701326558340165j</v>
      </c>
      <c r="N195" s="159" t="str">
        <f t="shared" si="114"/>
        <v>-39.3055658831438+0.701326558340165j</v>
      </c>
      <c r="O195" s="159" t="str">
        <f t="shared" si="115"/>
        <v>0.00369248028278769-1.63281286500474j</v>
      </c>
      <c r="P195" s="159" t="str">
        <f t="shared" si="116"/>
        <v>0.0236082655442969-10.4395627732571j</v>
      </c>
      <c r="R195" s="159">
        <f t="shared" si="117"/>
        <v>31.968031968031973</v>
      </c>
      <c r="S195" s="159" t="str">
        <f t="shared" si="118"/>
        <v>1+0.0091674365483184j</v>
      </c>
      <c r="T195" s="159" t="str">
        <f t="shared" si="119"/>
        <v>-39.3055658831438+0.701326558340165j</v>
      </c>
      <c r="U195" s="159" t="str">
        <f t="shared" si="120"/>
        <v>-0.0254294318562511-0.000686970709259995j</v>
      </c>
      <c r="V195" s="159" t="str">
        <f t="shared" si="121"/>
        <v>-0.812928890509526-0.0219611015947251j</v>
      </c>
      <c r="X195" s="159" t="str">
        <f t="shared" si="122"/>
        <v>-0.106284501474095-0.398078569544427j</v>
      </c>
      <c r="Y195" s="159">
        <f t="shared" si="123"/>
        <v>-7.7015710502712622</v>
      </c>
      <c r="Z195" s="159">
        <f t="shared" si="124"/>
        <v>75.051086403505977</v>
      </c>
      <c r="AB195" s="159" t="str">
        <f t="shared" si="125"/>
        <v>-0.358039590623002-0.00967236361802471j</v>
      </c>
      <c r="AC195" s="159">
        <f t="shared" si="126"/>
        <v>-8.9182106423805578</v>
      </c>
      <c r="AD195" s="159">
        <f t="shared" si="127"/>
        <v>1.5474569630894166</v>
      </c>
      <c r="AF195" s="159" t="str">
        <f t="shared" si="128"/>
        <v>-0.330272850041919-0.157932706274962j</v>
      </c>
      <c r="AG195" s="159">
        <f t="shared" si="129"/>
        <v>-8.7282100459301546</v>
      </c>
      <c r="AH195" s="159">
        <f t="shared" si="130"/>
        <v>25.556594373617258</v>
      </c>
      <c r="AJ195" s="159" t="str">
        <f t="shared" si="131"/>
        <v>43890.0664814416-70614.0746245512j</v>
      </c>
      <c r="AK195" s="159" t="str">
        <f t="shared" si="132"/>
        <v>30000-0.000235734082671045j</v>
      </c>
      <c r="AL195" s="159" t="str">
        <f t="shared" si="146"/>
        <v>10000-84841.3592696694j</v>
      </c>
      <c r="AM195" s="159" t="str">
        <f t="shared" si="147"/>
        <v>956.816784499085-26407.8543688553j</v>
      </c>
      <c r="AN195" s="159" t="str">
        <f t="shared" si="148"/>
        <v>10956.8167844991-26407.8543688553j</v>
      </c>
      <c r="AO195" s="159" t="str">
        <f t="shared" si="149"/>
        <v>14478.447654653-10007.8796465318j</v>
      </c>
      <c r="AP195" s="159" t="str">
        <f t="shared" si="150"/>
        <v>0.212204003476476+0.202795718896391j</v>
      </c>
      <c r="AQ195" s="159" t="str">
        <f t="shared" si="133"/>
        <v>1+26.166483176486j</v>
      </c>
      <c r="AR195" s="159">
        <f t="shared" si="134"/>
        <v>-1.0270553180560404E-4</v>
      </c>
      <c r="AS195" s="159" t="str">
        <f t="shared" si="135"/>
        <v>0.000713747797708633j</v>
      </c>
      <c r="AT195" s="159" t="str">
        <f t="shared" si="136"/>
        <v>-0.000102705531805604+0.000713747797708633j</v>
      </c>
      <c r="AU195" s="159" t="str">
        <f t="shared" si="137"/>
        <v>5.35792021083374-0.981142144149277j</v>
      </c>
      <c r="AW195" s="159" t="str">
        <f t="shared" si="151"/>
        <v>1.44985676653283+0.615143808843944j</v>
      </c>
      <c r="AX195" s="159">
        <f t="shared" si="138"/>
        <v>3.9453687632193235</v>
      </c>
      <c r="AY195" s="159">
        <f t="shared" si="139"/>
        <v>-157.00950623259837</v>
      </c>
      <c r="AZ195" s="159" t="str">
        <f t="shared" si="140"/>
        <v>-0.513156228554889-0.234269379332719j</v>
      </c>
      <c r="BA195" s="159">
        <f t="shared" si="141"/>
        <v>-4.9728418791612299</v>
      </c>
      <c r="BB195" s="159">
        <f t="shared" si="142"/>
        <v>24.537950730491019</v>
      </c>
      <c r="BD195" s="159" t="str">
        <f t="shared" si="143"/>
        <v>-0.381696999956347-0.432145101782126j</v>
      </c>
      <c r="BE195" s="159">
        <f t="shared" si="144"/>
        <v>-4.7828412827108346</v>
      </c>
      <c r="BF195" s="159">
        <f t="shared" si="145"/>
        <v>48.547088141018833</v>
      </c>
      <c r="BH195" s="159">
        <f t="shared" si="152"/>
        <v>5.7828412827108346</v>
      </c>
      <c r="BI195" s="169">
        <f t="shared" si="153"/>
        <v>-48.547088141018833</v>
      </c>
      <c r="BN195" s="165"/>
      <c r="BO195" s="165"/>
      <c r="BP195" s="165"/>
    </row>
    <row r="196" spans="1:68" s="159" customFormat="1">
      <c r="A196" s="159">
        <v>132</v>
      </c>
      <c r="B196" s="159">
        <f t="shared" si="103"/>
        <v>43651.58322401662</v>
      </c>
      <c r="C196" s="159" t="str">
        <f t="shared" si="104"/>
        <v>274270.986348268j</v>
      </c>
      <c r="D196" s="159">
        <f t="shared" si="105"/>
        <v>0.96951262851258802</v>
      </c>
      <c r="E196" s="159" t="str">
        <f t="shared" si="106"/>
        <v>-0.274270986348268j</v>
      </c>
      <c r="F196" s="159" t="str">
        <f t="shared" si="107"/>
        <v>0.969512628512588-0.274270986348268j</v>
      </c>
      <c r="G196" s="159">
        <f t="shared" si="108"/>
        <v>6.5427583204041406E-2</v>
      </c>
      <c r="H196" s="159">
        <f t="shared" si="109"/>
        <v>-15.795981871138268</v>
      </c>
      <c r="J196" s="159">
        <f t="shared" si="110"/>
        <v>6.3936063936063938</v>
      </c>
      <c r="K196" s="159" t="str">
        <f t="shared" si="111"/>
        <v>1+67.2059911398479j</v>
      </c>
      <c r="L196" s="159">
        <f t="shared" si="112"/>
        <v>-43.194174174079592</v>
      </c>
      <c r="M196" s="159" t="str">
        <f t="shared" si="113"/>
        <v>0.734379060744269j</v>
      </c>
      <c r="N196" s="159" t="str">
        <f t="shared" si="114"/>
        <v>-43.1941741740796+0.734379060744269j</v>
      </c>
      <c r="O196" s="159" t="str">
        <f t="shared" si="115"/>
        <v>0.0033009578923384-1.55584794177682j</v>
      </c>
      <c r="P196" s="159" t="str">
        <f t="shared" si="116"/>
        <v>0.0211050254854803-9.94747934802363j</v>
      </c>
      <c r="R196" s="159">
        <f t="shared" si="117"/>
        <v>31.968031968031973</v>
      </c>
      <c r="S196" s="159" t="str">
        <f t="shared" si="118"/>
        <v>1+0.00959948452218938j</v>
      </c>
      <c r="T196" s="159" t="str">
        <f t="shared" si="119"/>
        <v>-43.1941741740796+0.734379060744269j</v>
      </c>
      <c r="U196" s="159" t="str">
        <f t="shared" si="120"/>
        <v>-0.0231408026599828-0.000615675746856958j</v>
      </c>
      <c r="V196" s="159" t="str">
        <f t="shared" si="121"/>
        <v>-0.739765919200249-0.0196819419574652j</v>
      </c>
      <c r="X196" s="159" t="str">
        <f t="shared" si="122"/>
        <v>-0.106143167210663-0.378264516973405j</v>
      </c>
      <c r="Y196" s="159">
        <f t="shared" si="123"/>
        <v>-8.1149219358376943</v>
      </c>
      <c r="Z196" s="159">
        <f t="shared" si="124"/>
        <v>74.325579283213884</v>
      </c>
      <c r="AB196" s="159" t="str">
        <f t="shared" si="125"/>
        <v>-0.325816304426448-0.00866854963993182j</v>
      </c>
      <c r="AC196" s="159">
        <f t="shared" si="126"/>
        <v>-9.737470623781876</v>
      </c>
      <c r="AD196" s="159">
        <f t="shared" si="127"/>
        <v>1.5240310587602437</v>
      </c>
      <c r="AF196" s="159" t="str">
        <f t="shared" si="128"/>
        <v>-0.305662991091415-0.139049128185234j</v>
      </c>
      <c r="AG196" s="159">
        <f t="shared" si="129"/>
        <v>-9.4782750832784011</v>
      </c>
      <c r="AH196" s="159">
        <f t="shared" si="130"/>
        <v>24.461259205887728</v>
      </c>
      <c r="AJ196" s="159" t="str">
        <f t="shared" si="131"/>
        <v>41034.3660280933-69130.9876545762j</v>
      </c>
      <c r="AK196" s="159" t="str">
        <f t="shared" si="132"/>
        <v>30000-0.000246843887713441j</v>
      </c>
      <c r="AL196" s="159" t="str">
        <f t="shared" si="146"/>
        <v>10000-81022.869090515j</v>
      </c>
      <c r="AM196" s="159" t="str">
        <f t="shared" si="147"/>
        <v>956.211204497249-25226.4196802266j</v>
      </c>
      <c r="AN196" s="159" t="str">
        <f t="shared" si="148"/>
        <v>10956.2112044972-25226.4196802266j</v>
      </c>
      <c r="AO196" s="159" t="str">
        <f t="shared" si="149"/>
        <v>14069.1272625382-9812.40375904105j</v>
      </c>
      <c r="AP196" s="159" t="str">
        <f t="shared" si="150"/>
        <v>0.216899389042182+0.211087528914194j</v>
      </c>
      <c r="AQ196" s="159" t="str">
        <f t="shared" si="133"/>
        <v>1+27.399671536192j</v>
      </c>
      <c r="AR196" s="159">
        <f t="shared" si="134"/>
        <v>-1.1262402406774903E-4</v>
      </c>
      <c r="AS196" s="159" t="str">
        <f t="shared" si="135"/>
        <v>0.000747385695089167j</v>
      </c>
      <c r="AT196" s="159" t="str">
        <f t="shared" si="136"/>
        <v>-0.000112624024067749+0.000747385695089167j</v>
      </c>
      <c r="AU196" s="159" t="str">
        <f t="shared" si="137"/>
        <v>5.34743150657245-1.00650742934959j</v>
      </c>
      <c r="AW196" s="159" t="str">
        <f t="shared" si="151"/>
        <v>1.49391908175985+0.626497006315699j</v>
      </c>
      <c r="AX196" s="159">
        <f t="shared" si="138"/>
        <v>4.1901227596220929</v>
      </c>
      <c r="AY196" s="159">
        <f t="shared" si="139"/>
        <v>-157.24854058095283</v>
      </c>
      <c r="AZ196" s="159" t="str">
        <f t="shared" si="140"/>
        <v>-0.48131237393263-0.21707305105029j</v>
      </c>
      <c r="BA196" s="159">
        <f t="shared" si="141"/>
        <v>-5.5473478641597946</v>
      </c>
      <c r="BB196" s="159">
        <f t="shared" si="142"/>
        <v>24.275490477807352</v>
      </c>
      <c r="BD196" s="159" t="str">
        <f t="shared" si="143"/>
        <v>-0.369521912440398-0.399225094758265j</v>
      </c>
      <c r="BE196" s="159">
        <f t="shared" si="144"/>
        <v>-5.2881523236563277</v>
      </c>
      <c r="BF196" s="159">
        <f t="shared" si="145"/>
        <v>47.212718624934894</v>
      </c>
      <c r="BH196" s="159">
        <f t="shared" si="152"/>
        <v>6.2881523236563277</v>
      </c>
      <c r="BI196" s="169">
        <f t="shared" si="153"/>
        <v>-47.212718624934894</v>
      </c>
      <c r="BN196" s="165"/>
      <c r="BO196" s="165"/>
      <c r="BP196" s="165"/>
    </row>
    <row r="197" spans="1:68" s="159" customFormat="1">
      <c r="A197" s="159">
        <v>133</v>
      </c>
      <c r="B197" s="159">
        <f t="shared" si="103"/>
        <v>45708.818961487559</v>
      </c>
      <c r="C197" s="159" t="str">
        <f t="shared" si="104"/>
        <v>287196.97970735j</v>
      </c>
      <c r="D197" s="159">
        <f t="shared" si="105"/>
        <v>0.96657126190633536</v>
      </c>
      <c r="E197" s="159" t="str">
        <f t="shared" si="106"/>
        <v>-0.28719697970735j</v>
      </c>
      <c r="F197" s="159" t="str">
        <f t="shared" si="107"/>
        <v>0.966571261906335-0.28719697970735j</v>
      </c>
      <c r="G197" s="159">
        <f t="shared" si="108"/>
        <v>7.2108107146442738E-2</v>
      </c>
      <c r="H197" s="159">
        <f t="shared" si="109"/>
        <v>-16.54824547469541</v>
      </c>
      <c r="J197" s="159">
        <f t="shared" si="110"/>
        <v>6.3936063936063938</v>
      </c>
      <c r="K197" s="159" t="str">
        <f t="shared" si="111"/>
        <v>1+70.3733119225905j</v>
      </c>
      <c r="L197" s="159">
        <f t="shared" si="112"/>
        <v>-47.45794837843254</v>
      </c>
      <c r="M197" s="159" t="str">
        <f t="shared" si="113"/>
        <v>0.76898927959613j</v>
      </c>
      <c r="N197" s="159" t="str">
        <f t="shared" si="114"/>
        <v>-47.4579483784325+0.76898927959613j</v>
      </c>
      <c r="O197" s="159" t="str">
        <f t="shared" si="115"/>
        <v>0.00295553603376348-1.48280828715819j</v>
      </c>
      <c r="P197" s="159" t="str">
        <f t="shared" si="116"/>
        <v>0.0188965340820043-9.48049254526715j</v>
      </c>
      <c r="R197" s="159">
        <f t="shared" si="117"/>
        <v>31.968031968031973</v>
      </c>
      <c r="S197" s="159" t="str">
        <f t="shared" si="118"/>
        <v>1+0.0100518942897572j</v>
      </c>
      <c r="T197" s="159" t="str">
        <f t="shared" si="119"/>
        <v>-47.4579483784325+0.76898927959613j</v>
      </c>
      <c r="U197" s="159" t="str">
        <f t="shared" si="120"/>
        <v>-0.0210623238592336-0.000553091661939993j</v>
      </c>
      <c r="V197" s="159" t="str">
        <f t="shared" si="121"/>
        <v>-0.673321042453022-0.0176812519301496j</v>
      </c>
      <c r="X197" s="159" t="str">
        <f t="shared" si="122"/>
        <v>-0.106012267814467-0.359410209942044j</v>
      </c>
      <c r="Y197" s="159">
        <f t="shared" si="123"/>
        <v>-8.5258866095400663</v>
      </c>
      <c r="Z197" s="159">
        <f t="shared" si="124"/>
        <v>73.565956420550663</v>
      </c>
      <c r="AB197" s="159" t="str">
        <f t="shared" si="125"/>
        <v>-0.296551879521261-0.00778738248410024j</v>
      </c>
      <c r="AC197" s="159">
        <f t="shared" si="126"/>
        <v>-10.554992626927005</v>
      </c>
      <c r="AD197" s="159">
        <f t="shared" si="127"/>
        <v>1.5042279743668132</v>
      </c>
      <c r="AF197" s="159" t="str">
        <f t="shared" si="128"/>
        <v>-0.282548222265626-0.122303801753567j</v>
      </c>
      <c r="AG197" s="159">
        <f t="shared" si="129"/>
        <v>-10.23229606315547</v>
      </c>
      <c r="AH197" s="159">
        <f t="shared" si="130"/>
        <v>23.405852598514684</v>
      </c>
      <c r="AJ197" s="159" t="str">
        <f t="shared" si="131"/>
        <v>38301.8297686627-67568.5431612726j</v>
      </c>
      <c r="AK197" s="159" t="str">
        <f t="shared" si="132"/>
        <v>30000-0.000258477281736615j</v>
      </c>
      <c r="AL197" s="159" t="str">
        <f t="shared" si="146"/>
        <v>9999.99999999992-77376.2392796271j</v>
      </c>
      <c r="AM197" s="159" t="str">
        <f t="shared" si="147"/>
        <v>955.54807967643-24098.4837316786j</v>
      </c>
      <c r="AN197" s="159" t="str">
        <f t="shared" si="148"/>
        <v>10955.5480796764-24098.4837316786j</v>
      </c>
      <c r="AO197" s="159" t="str">
        <f t="shared" si="149"/>
        <v>13676.5005760779-9604.84239749073j</v>
      </c>
      <c r="AP197" s="159" t="str">
        <f t="shared" si="150"/>
        <v>0.221983863797066+0.219600648061413j</v>
      </c>
      <c r="AQ197" s="159" t="str">
        <f t="shared" si="133"/>
        <v>1+28.6909782727643j</v>
      </c>
      <c r="AR197" s="159">
        <f t="shared" si="134"/>
        <v>-1.2349943457180647E-4</v>
      </c>
      <c r="AS197" s="159" t="str">
        <f t="shared" si="135"/>
        <v>0.000782608897732732j</v>
      </c>
      <c r="AT197" s="159" t="str">
        <f t="shared" si="136"/>
        <v>-0.000123499434571806+0.000782608897732732j</v>
      </c>
      <c r="AU197" s="159" t="str">
        <f t="shared" si="137"/>
        <v>5.33597842278394-1.03370958398872j</v>
      </c>
      <c r="AW197" s="159" t="str">
        <f t="shared" si="151"/>
        <v>1.54084659357601+0.63565486922729j</v>
      </c>
      <c r="AX197" s="159">
        <f t="shared" si="138"/>
        <v>4.437737205949551</v>
      </c>
      <c r="AY197" s="159">
        <f t="shared" si="139"/>
        <v>-157.58208414652967</v>
      </c>
      <c r="AZ197" s="159" t="str">
        <f t="shared" si="140"/>
        <v>-0.451990865784344-0.200503807969693j</v>
      </c>
      <c r="BA197" s="159">
        <f t="shared" si="141"/>
        <v>-6.117255420977469</v>
      </c>
      <c r="BB197" s="159">
        <f t="shared" si="142"/>
        <v>23.922143827837118</v>
      </c>
      <c r="BD197" s="159" t="str">
        <f t="shared" si="143"/>
        <v>-0.357620458689283-0.368054549588039j</v>
      </c>
      <c r="BE197" s="159">
        <f t="shared" si="144"/>
        <v>-5.7945588572059217</v>
      </c>
      <c r="BF197" s="159">
        <f t="shared" si="145"/>
        <v>45.823768451984989</v>
      </c>
      <c r="BH197" s="159">
        <f t="shared" si="152"/>
        <v>6.7945588572059217</v>
      </c>
      <c r="BI197" s="169">
        <f t="shared" si="153"/>
        <v>-45.823768451984989</v>
      </c>
      <c r="BN197" s="165"/>
      <c r="BO197" s="165"/>
      <c r="BP197" s="165"/>
    </row>
    <row r="198" spans="1:68" s="159" customFormat="1">
      <c r="A198" s="159">
        <v>134</v>
      </c>
      <c r="B198" s="159">
        <f t="shared" si="103"/>
        <v>47863.009232263888</v>
      </c>
      <c r="C198" s="159" t="str">
        <f t="shared" si="104"/>
        <v>300732.156365561j</v>
      </c>
      <c r="D198" s="159">
        <f t="shared" si="105"/>
        <v>0.96334611755571564</v>
      </c>
      <c r="E198" s="159" t="str">
        <f t="shared" si="106"/>
        <v>-0.300732156365561j</v>
      </c>
      <c r="F198" s="159" t="str">
        <f t="shared" si="107"/>
        <v>0.963346117555716-0.300732156365561j</v>
      </c>
      <c r="G198" s="159">
        <f t="shared" si="108"/>
        <v>7.9506170011430732E-2</v>
      </c>
      <c r="H198" s="159">
        <f t="shared" si="109"/>
        <v>-17.337035975742005</v>
      </c>
      <c r="J198" s="159">
        <f t="shared" si="110"/>
        <v>6.3936063936063938</v>
      </c>
      <c r="K198" s="159" t="str">
        <f t="shared" si="111"/>
        <v>1+73.6899039350352j</v>
      </c>
      <c r="L198" s="159">
        <f t="shared" si="112"/>
        <v>-52.133083826783256</v>
      </c>
      <c r="M198" s="159" t="str">
        <f t="shared" si="113"/>
        <v>0.805230627810203j</v>
      </c>
      <c r="N198" s="159" t="str">
        <f t="shared" si="114"/>
        <v>-52.1330838267833+0.805230627810203j</v>
      </c>
      <c r="O198" s="159" t="str">
        <f t="shared" si="115"/>
        <v>0.00265008853908781-1.41345503840538j</v>
      </c>
      <c r="P198" s="159" t="str">
        <f t="shared" si="116"/>
        <v>0.0169436230271349-9.03707517062381j</v>
      </c>
      <c r="R198" s="159">
        <f t="shared" si="117"/>
        <v>31.968031968031973</v>
      </c>
      <c r="S198" s="159" t="str">
        <f t="shared" si="118"/>
        <v>1+0.0105256254727946j</v>
      </c>
      <c r="T198" s="159" t="str">
        <f t="shared" si="119"/>
        <v>-52.1330838267833+0.805230627810203j</v>
      </c>
      <c r="U198" s="159" t="str">
        <f t="shared" si="120"/>
        <v>-0.0191739846958923-0.000498054273815117j</v>
      </c>
      <c r="V198" s="159" t="str">
        <f t="shared" si="121"/>
        <v>-0.612954555712841-0.0159218149471366j</v>
      </c>
      <c r="X198" s="159" t="str">
        <f t="shared" si="122"/>
        <v>-0.105891244728323-0.341454517817775j</v>
      </c>
      <c r="Y198" s="159">
        <f t="shared" si="123"/>
        <v>-8.9345506599330555</v>
      </c>
      <c r="Z198" s="159">
        <f t="shared" si="124"/>
        <v>72.770387823800974</v>
      </c>
      <c r="AB198" s="159" t="str">
        <f t="shared" si="125"/>
        <v>-0.269964569792046-0.00701247079812227j</v>
      </c>
      <c r="AC198" s="159">
        <f t="shared" si="126"/>
        <v>-11.370935262671193</v>
      </c>
      <c r="AD198" s="159">
        <f t="shared" si="127"/>
        <v>1.4879532243945164</v>
      </c>
      <c r="AF198" s="159" t="str">
        <f t="shared" si="128"/>
        <v>-0.260892572340127-0.107476207700886j</v>
      </c>
      <c r="AG198" s="159">
        <f t="shared" si="129"/>
        <v>-10.989992664174203</v>
      </c>
      <c r="AH198" s="159">
        <f t="shared" si="130"/>
        <v>22.389495921581585</v>
      </c>
      <c r="AJ198" s="159" t="str">
        <f t="shared" si="131"/>
        <v>35695.4870763278-65938.3910700386j</v>
      </c>
      <c r="AK198" s="159" t="str">
        <f t="shared" si="132"/>
        <v>30000-0.000270658940729005j</v>
      </c>
      <c r="AL198" s="159" t="str">
        <f t="shared" si="146"/>
        <v>10000-73893.7348462651j</v>
      </c>
      <c r="AM198" s="159" t="str">
        <f t="shared" si="147"/>
        <v>954.822034092679-23021.6525799899j</v>
      </c>
      <c r="AN198" s="159" t="str">
        <f t="shared" si="148"/>
        <v>10954.8220340927-23021.6525799899j</v>
      </c>
      <c r="AO198" s="159" t="str">
        <f t="shared" si="149"/>
        <v>13301.1184391875-9386.82748547552j</v>
      </c>
      <c r="AP198" s="159" t="str">
        <f t="shared" si="150"/>
        <v>0.227483529352197+0.228324628964266j</v>
      </c>
      <c r="AQ198" s="159" t="str">
        <f t="shared" si="133"/>
        <v>1+30.0431424209195j</v>
      </c>
      <c r="AR198" s="159">
        <f t="shared" si="134"/>
        <v>-1.3542408506361187E-4</v>
      </c>
      <c r="AS198" s="159" t="str">
        <f t="shared" si="135"/>
        <v>0.00081949211877459j</v>
      </c>
      <c r="AT198" s="159" t="str">
        <f t="shared" si="136"/>
        <v>-0.000135424085063612+0.00081949211877459j</v>
      </c>
      <c r="AU198" s="159" t="str">
        <f t="shared" si="137"/>
        <v>5.3234770339201-1.06276434723753j</v>
      </c>
      <c r="AW198" s="159" t="str">
        <f t="shared" si="151"/>
        <v>1.59067987579282+0.64224584067906j</v>
      </c>
      <c r="AX198" s="159">
        <f t="shared" si="138"/>
        <v>4.6875221533953484</v>
      </c>
      <c r="AY198" s="159">
        <f t="shared" si="139"/>
        <v>-158.01333312644502</v>
      </c>
      <c r="AZ198" s="159" t="str">
        <f t="shared" si="140"/>
        <v>-0.424923478142297-0.184538218257811j</v>
      </c>
      <c r="BA198" s="159">
        <f t="shared" si="141"/>
        <v>-6.6834131092758389</v>
      </c>
      <c r="BB198" s="159">
        <f t="shared" si="142"/>
        <v>23.47462009794944</v>
      </c>
      <c r="BD198" s="159" t="str">
        <f t="shared" si="143"/>
        <v>-0.345970417197411-0.338517410165836j</v>
      </c>
      <c r="BE198" s="159">
        <f t="shared" si="144"/>
        <v>-6.3024705107788384</v>
      </c>
      <c r="BF198" s="159">
        <f t="shared" si="145"/>
        <v>44.376162795136452</v>
      </c>
      <c r="BH198" s="159">
        <f t="shared" si="152"/>
        <v>7.3024705107788384</v>
      </c>
      <c r="BI198" s="169">
        <f t="shared" si="153"/>
        <v>-44.376162795136452</v>
      </c>
      <c r="BN198" s="165"/>
      <c r="BO198" s="165"/>
      <c r="BP198" s="165"/>
    </row>
    <row r="199" spans="1:68" s="159" customFormat="1">
      <c r="A199" s="159">
        <v>135</v>
      </c>
      <c r="B199" s="159">
        <f t="shared" si="103"/>
        <v>50118.723362727265</v>
      </c>
      <c r="C199" s="159" t="str">
        <f t="shared" si="104"/>
        <v>314905.226247286j</v>
      </c>
      <c r="D199" s="159">
        <f t="shared" si="105"/>
        <v>0.95980981709584667</v>
      </c>
      <c r="E199" s="159" t="str">
        <f t="shared" si="106"/>
        <v>-0.314905226247286j</v>
      </c>
      <c r="F199" s="159" t="str">
        <f t="shared" si="107"/>
        <v>0.959809817095847-0.314905226247286j</v>
      </c>
      <c r="G199" s="159">
        <f t="shared" si="108"/>
        <v>8.7705293192421457E-2</v>
      </c>
      <c r="H199" s="159">
        <f t="shared" si="109"/>
        <v>-18.164212011120465</v>
      </c>
      <c r="J199" s="159">
        <f t="shared" si="110"/>
        <v>6.3936063936063938</v>
      </c>
      <c r="K199" s="159" t="str">
        <f t="shared" si="111"/>
        <v>1+77.1628021135037j</v>
      </c>
      <c r="L199" s="159">
        <f t="shared" si="112"/>
        <v>-57.259267909915984</v>
      </c>
      <c r="M199" s="159" t="str">
        <f t="shared" si="113"/>
        <v>0.843179978145012j</v>
      </c>
      <c r="N199" s="159" t="str">
        <f t="shared" si="114"/>
        <v>-57.259267909916+0.843179978145012j</v>
      </c>
      <c r="O199" s="159" t="str">
        <f t="shared" si="115"/>
        <v>0.0023794039249221-1.34756867602898j</v>
      </c>
      <c r="P199" s="159" t="str">
        <f t="shared" si="116"/>
        <v>0.0152129721473541-8.61582370288259j</v>
      </c>
      <c r="R199" s="159">
        <f t="shared" si="117"/>
        <v>31.968031968031973</v>
      </c>
      <c r="S199" s="159" t="str">
        <f t="shared" si="118"/>
        <v>1+0.011021682918655j</v>
      </c>
      <c r="T199" s="159" t="str">
        <f t="shared" si="119"/>
        <v>-57.259267909916+0.843179978145012j</v>
      </c>
      <c r="U199" s="159" t="str">
        <f t="shared" si="120"/>
        <v>-0.0174578015480343-0.000449564805594182j</v>
      </c>
      <c r="V199" s="159" t="str">
        <f t="shared" si="121"/>
        <v>-0.558091557979119-0.0143717020769369j</v>
      </c>
      <c r="X199" s="159" t="str">
        <f t="shared" si="122"/>
        <v>-0.10577952229374-0.324341119003677j</v>
      </c>
      <c r="Y199" s="159">
        <f t="shared" si="123"/>
        <v>-9.3409750818553547</v>
      </c>
      <c r="Z199" s="159">
        <f t="shared" si="124"/>
        <v>71.93695512299432</v>
      </c>
      <c r="AB199" s="159" t="str">
        <f t="shared" si="125"/>
        <v>-0.245801170658057-0.0063297520708817j</v>
      </c>
      <c r="AC199" s="159">
        <f t="shared" si="126"/>
        <v>-12.185442033492574</v>
      </c>
      <c r="AD199" s="159">
        <f t="shared" si="127"/>
        <v>1.475127003322342</v>
      </c>
      <c r="AF199" s="159" t="str">
        <f t="shared" si="128"/>
        <v>-0.24065079765154-0.094364536682002j</v>
      </c>
      <c r="AG199" s="159">
        <f t="shared" si="129"/>
        <v>-11.751099584070516</v>
      </c>
      <c r="AH199" s="159">
        <f t="shared" si="130"/>
        <v>21.411251540983187</v>
      </c>
      <c r="AJ199" s="159" t="str">
        <f t="shared" si="131"/>
        <v>33217.0757080115-64251.9673272347j</v>
      </c>
      <c r="AK199" s="159" t="str">
        <f t="shared" si="132"/>
        <v>30000-0.000283414703622557j</v>
      </c>
      <c r="AL199" s="159" t="str">
        <f t="shared" si="146"/>
        <v>10000-70567.9689316166j</v>
      </c>
      <c r="AM199" s="159" t="str">
        <f t="shared" si="147"/>
        <v>954.02720802033-21993.6404747807j</v>
      </c>
      <c r="AN199" s="159" t="str">
        <f t="shared" si="148"/>
        <v>10954.0272080203-21993.6404747807j</v>
      </c>
      <c r="AO199" s="159" t="str">
        <f t="shared" si="149"/>
        <v>12943.3439537754-9159.97731586679j</v>
      </c>
      <c r="AP199" s="159" t="str">
        <f t="shared" si="150"/>
        <v>0.233425113643443+0.237246383037222j</v>
      </c>
      <c r="AQ199" s="159" t="str">
        <f t="shared" si="133"/>
        <v>1+31.4590321021039j</v>
      </c>
      <c r="AR199" s="159">
        <f t="shared" si="134"/>
        <v>-1.4849920432450484E-4</v>
      </c>
      <c r="AS199" s="159" t="str">
        <f t="shared" si="135"/>
        <v>0.000858113592471592j</v>
      </c>
      <c r="AT199" s="159" t="str">
        <f t="shared" si="136"/>
        <v>-0.000148499204324505+0.000858113592471592j</v>
      </c>
      <c r="AU199" s="159" t="str">
        <f t="shared" si="137"/>
        <v>5.30983706199487-1.0936857160086j</v>
      </c>
      <c r="AW199" s="159" t="str">
        <f t="shared" si="151"/>
        <v>1.64342804235591+0.645863417092869j</v>
      </c>
      <c r="AX199" s="159">
        <f t="shared" si="138"/>
        <v>4.9387545397017414</v>
      </c>
      <c r="AY199" s="159">
        <f t="shared" si="139"/>
        <v>-158.54528813406478</v>
      </c>
      <c r="AZ199" s="159" t="str">
        <f t="shared" si="140"/>
        <v>-0.399868381401512-0.169156476061088j</v>
      </c>
      <c r="BA199" s="159">
        <f t="shared" si="141"/>
        <v>-7.2466874937908141</v>
      </c>
      <c r="BB199" s="159">
        <f t="shared" si="142"/>
        <v>22.929838869257594</v>
      </c>
      <c r="BD199" s="159" t="str">
        <f t="shared" si="143"/>
        <v>-0.334545667162037-0.310508872284474j</v>
      </c>
      <c r="BE199" s="159">
        <f t="shared" si="144"/>
        <v>-6.8123450443687403</v>
      </c>
      <c r="BF199" s="159">
        <f t="shared" si="145"/>
        <v>42.865963406918354</v>
      </c>
      <c r="BH199" s="159">
        <f t="shared" si="152"/>
        <v>7.8123450443687403</v>
      </c>
      <c r="BI199" s="169">
        <f t="shared" si="153"/>
        <v>-42.865963406918354</v>
      </c>
      <c r="BN199" s="165"/>
      <c r="BO199" s="165"/>
      <c r="BP199" s="165"/>
    </row>
    <row r="200" spans="1:68" s="159" customFormat="1">
      <c r="A200" s="159">
        <v>136</v>
      </c>
      <c r="B200" s="159">
        <f t="shared" si="103"/>
        <v>52480.746024977292</v>
      </c>
      <c r="C200" s="159" t="str">
        <f t="shared" si="104"/>
        <v>329746.252333961j</v>
      </c>
      <c r="D200" s="159">
        <f t="shared" si="105"/>
        <v>0.95593234074658939</v>
      </c>
      <c r="E200" s="159" t="str">
        <f t="shared" si="106"/>
        <v>-0.329746252333961j</v>
      </c>
      <c r="F200" s="159" t="str">
        <f t="shared" si="107"/>
        <v>0.955932340746589-0.329746252333961j</v>
      </c>
      <c r="G200" s="159">
        <f t="shared" si="108"/>
        <v>9.6799792572369023E-2</v>
      </c>
      <c r="H200" s="159">
        <f t="shared" si="109"/>
        <v>-19.031734513177376</v>
      </c>
      <c r="J200" s="159">
        <f t="shared" si="110"/>
        <v>6.3936063936063938</v>
      </c>
      <c r="K200" s="159" t="str">
        <f t="shared" si="111"/>
        <v>1+80.7993729406521j</v>
      </c>
      <c r="L200" s="159">
        <f t="shared" si="112"/>
        <v>-62.880016986487199</v>
      </c>
      <c r="M200" s="159" t="str">
        <f t="shared" si="113"/>
        <v>0.882917826260577j</v>
      </c>
      <c r="N200" s="159" t="str">
        <f t="shared" si="114"/>
        <v>-62.8800169864872+0.882917826260577j</v>
      </c>
      <c r="O200" s="159" t="str">
        <f t="shared" si="115"/>
        <v>0.0021390347937822-1.28494692305928j</v>
      </c>
      <c r="P200" s="159" t="str">
        <f t="shared" si="116"/>
        <v>0.0136761465336724-8.21544486271668j</v>
      </c>
      <c r="R200" s="159">
        <f t="shared" si="117"/>
        <v>31.968031968031973</v>
      </c>
      <c r="S200" s="159" t="str">
        <f t="shared" si="118"/>
        <v>1+0.0115411188316886j</v>
      </c>
      <c r="T200" s="159" t="str">
        <f t="shared" si="119"/>
        <v>-62.8800169864872+0.882917826260577j</v>
      </c>
      <c r="U200" s="159" t="str">
        <f t="shared" si="120"/>
        <v>-0.0158975920791989-0.000406764938987354j</v>
      </c>
      <c r="V200" s="159" t="str">
        <f t="shared" si="121"/>
        <v>-0.508214731802562-0.0130034745730223j</v>
      </c>
      <c r="X200" s="159" t="str">
        <f t="shared" si="122"/>
        <v>-0.105676521855636-0.308017969407701j</v>
      </c>
      <c r="Y200" s="159">
        <f t="shared" si="123"/>
        <v>-9.7451964589375901</v>
      </c>
      <c r="Z200" s="159">
        <f t="shared" si="124"/>
        <v>71.063644953870096</v>
      </c>
      <c r="AB200" s="159" t="str">
        <f t="shared" si="125"/>
        <v>-0.2238338391555-0.00572714141071231j</v>
      </c>
      <c r="AC200" s="159">
        <f t="shared" si="126"/>
        <v>-12.998642848057473</v>
      </c>
      <c r="AD200" s="159">
        <f t="shared" si="127"/>
        <v>1.4656829928863431</v>
      </c>
      <c r="AF200" s="159" t="str">
        <f t="shared" si="128"/>
        <v>-0.221770550933913-0.082784873698521j</v>
      </c>
      <c r="AG200" s="159">
        <f t="shared" si="129"/>
        <v>-12.515366510812944</v>
      </c>
      <c r="AH200" s="159">
        <f t="shared" si="130"/>
        <v>20.470133210774236</v>
      </c>
      <c r="AJ200" s="159" t="str">
        <f t="shared" si="131"/>
        <v>30867.1375299583-62520.3485408956j</v>
      </c>
      <c r="AK200" s="159" t="str">
        <f t="shared" si="132"/>
        <v>30000-0.000296771627100565j</v>
      </c>
      <c r="AL200" s="159" t="str">
        <f t="shared" si="146"/>
        <v>10000-67391.8871402852j</v>
      </c>
      <c r="AM200" s="159" t="str">
        <f t="shared" si="147"/>
        <v>953.157218115449-21012.2649809515j</v>
      </c>
      <c r="AN200" s="159" t="str">
        <f t="shared" si="148"/>
        <v>10953.1572181154-21012.2649809515j</v>
      </c>
      <c r="AO200" s="159" t="str">
        <f t="shared" si="149"/>
        <v>12603.3639449962-8925.8741182837j</v>
      </c>
      <c r="AP200" s="159" t="str">
        <f t="shared" si="150"/>
        <v>0.239835761910989+0.24634993216612j</v>
      </c>
      <c r="AQ200" s="159" t="str">
        <f t="shared" si="133"/>
        <v>1+32.9416506081627j</v>
      </c>
      <c r="AR200" s="159">
        <f t="shared" si="134"/>
        <v>-1.628357875060456E-4</v>
      </c>
      <c r="AS200" s="159" t="str">
        <f t="shared" si="135"/>
        <v>0.00089855524014752j</v>
      </c>
      <c r="AT200" s="159" t="str">
        <f t="shared" si="136"/>
        <v>-0.000162835787506046+0.00089855524014752j</v>
      </c>
      <c r="AU200" s="159" t="str">
        <f t="shared" si="137"/>
        <v>5.29496158187068-1.12648526631706j</v>
      </c>
      <c r="AW200" s="159" t="str">
        <f t="shared" si="151"/>
        <v>1.69906176659448+0.646066466867039j</v>
      </c>
      <c r="AX200" s="159">
        <f t="shared" si="138"/>
        <v>5.1906800482893338</v>
      </c>
      <c r="AY200" s="159">
        <f t="shared" si="139"/>
        <v>-159.18074561640751</v>
      </c>
      <c r="AZ200" s="159" t="str">
        <f t="shared" si="140"/>
        <v>-0.376607404162701-0.1543423046313j</v>
      </c>
      <c r="BA200" s="159">
        <f t="shared" si="141"/>
        <v>-7.8079627997681573</v>
      </c>
      <c r="BB200" s="159">
        <f t="shared" si="142"/>
        <v>22.284937376478837</v>
      </c>
      <c r="BD200" s="159" t="str">
        <f t="shared" si="143"/>
        <v>-0.323317333187967-0.283935130050539j</v>
      </c>
      <c r="BE200" s="159">
        <f t="shared" si="144"/>
        <v>-7.3246864625236352</v>
      </c>
      <c r="BF200" s="159">
        <f t="shared" si="145"/>
        <v>41.289387594366701</v>
      </c>
      <c r="BH200" s="159">
        <f t="shared" si="152"/>
        <v>8.3246864625236352</v>
      </c>
      <c r="BI200" s="169">
        <f t="shared" si="153"/>
        <v>-41.289387594366701</v>
      </c>
      <c r="BN200" s="165"/>
      <c r="BO200" s="165"/>
      <c r="BP200" s="165"/>
    </row>
    <row r="201" spans="1:68" s="159" customFormat="1">
      <c r="A201" s="159">
        <v>137</v>
      </c>
      <c r="B201" s="159">
        <f t="shared" si="103"/>
        <v>54954.087385762534</v>
      </c>
      <c r="C201" s="159" t="str">
        <f t="shared" si="104"/>
        <v>345286.714431686j</v>
      </c>
      <c r="D201" s="159">
        <f t="shared" si="105"/>
        <v>0.95168077247356753</v>
      </c>
      <c r="E201" s="159" t="str">
        <f t="shared" si="106"/>
        <v>-0.345286714431686j</v>
      </c>
      <c r="F201" s="159" t="str">
        <f t="shared" si="107"/>
        <v>0.951680772473568-0.345286714431686j</v>
      </c>
      <c r="G201" s="159">
        <f t="shared" si="108"/>
        <v>0.10689632256205986</v>
      </c>
      <c r="H201" s="159">
        <f t="shared" si="109"/>
        <v>-19.941672277045445</v>
      </c>
      <c r="J201" s="159">
        <f t="shared" si="110"/>
        <v>6.3936063936063938</v>
      </c>
      <c r="K201" s="159" t="str">
        <f t="shared" si="111"/>
        <v>1+84.6073300707682j</v>
      </c>
      <c r="L201" s="159">
        <f t="shared" si="112"/>
        <v>-69.043045794939829</v>
      </c>
      <c r="M201" s="159" t="str">
        <f t="shared" si="113"/>
        <v>0.924528461460494j</v>
      </c>
      <c r="N201" s="159" t="str">
        <f t="shared" si="114"/>
        <v>-69.0430457949398+0.924528461460494j</v>
      </c>
      <c r="O201" s="159" t="str">
        <f t="shared" si="115"/>
        <v>0.00192517404727133-1.22540292390706j</v>
      </c>
      <c r="P201" s="159" t="str">
        <f t="shared" si="116"/>
        <v>0.0123088050974391-7.83474396903615j</v>
      </c>
      <c r="R201" s="159">
        <f t="shared" si="117"/>
        <v>31.968031968031973</v>
      </c>
      <c r="S201" s="159" t="str">
        <f t="shared" si="118"/>
        <v>1+0.012085035005109j</v>
      </c>
      <c r="T201" s="159" t="str">
        <f t="shared" si="119"/>
        <v>-69.0430457949398+0.924528461460494j</v>
      </c>
      <c r="U201" s="159" t="str">
        <f t="shared" si="120"/>
        <v>-0.0144787779166196-0.000368915898522778j</v>
      </c>
      <c r="V201" s="159" t="str">
        <f t="shared" si="121"/>
        <v>-0.462858035296531-0.0117935152374914j</v>
      </c>
      <c r="X201" s="159" t="str">
        <f t="shared" si="122"/>
        <v>-0.105581672133951-0.292436841264722j</v>
      </c>
      <c r="Y201" s="159">
        <f t="shared" si="123"/>
        <v>-10.14722677474548</v>
      </c>
      <c r="Z201" s="159">
        <f t="shared" si="124"/>
        <v>70.148342406968666</v>
      </c>
      <c r="AB201" s="159" t="str">
        <f t="shared" si="125"/>
        <v>-0.20385731569986-0.00519423705681189j</v>
      </c>
      <c r="AC201" s="159">
        <f t="shared" si="126"/>
        <v>-13.810655368006397</v>
      </c>
      <c r="AD201" s="159">
        <f t="shared" si="127"/>
        <v>1.4595673499246971</v>
      </c>
      <c r="AF201" s="159" t="str">
        <f t="shared" si="128"/>
        <v>-0.204194272622957-0.0725702539010783j</v>
      </c>
      <c r="AG201" s="159">
        <f t="shared" si="129"/>
        <v>-13.282557950427469</v>
      </c>
      <c r="AH201" s="159">
        <f t="shared" si="130"/>
        <v>19.565115741503405</v>
      </c>
      <c r="AJ201" s="159" t="str">
        <f t="shared" si="131"/>
        <v>28645.1285190428-60754.130344173j</v>
      </c>
      <c r="AK201" s="159" t="str">
        <f t="shared" si="132"/>
        <v>30000-0.000310758042988518j</v>
      </c>
      <c r="AL201" s="159" t="str">
        <f t="shared" si="146"/>
        <v>10000-64358.7525769654j</v>
      </c>
      <c r="AM201" s="159" t="str">
        <f t="shared" si="147"/>
        <v>952.205115051587-20075.4423163262j</v>
      </c>
      <c r="AN201" s="159" t="str">
        <f t="shared" si="148"/>
        <v>10952.2051150516-20075.4423163262j</v>
      </c>
      <c r="AO201" s="159" t="str">
        <f t="shared" si="149"/>
        <v>12281.2029241115-8686.04479781614j</v>
      </c>
      <c r="AP201" s="159" t="str">
        <f t="shared" si="150"/>
        <v>0.246742781123472+0.255616165064943j</v>
      </c>
      <c r="AQ201" s="159" t="str">
        <f t="shared" si="133"/>
        <v>1+34.4941427717254j</v>
      </c>
      <c r="AR201" s="159">
        <f t="shared" si="134"/>
        <v>-1.7855553837179899E-4</v>
      </c>
      <c r="AS201" s="159" t="str">
        <f t="shared" si="135"/>
        <v>0.0009409028439592j</v>
      </c>
      <c r="AT201" s="159" t="str">
        <f t="shared" si="136"/>
        <v>-0.000178555538371799+0.0009409028439592j</v>
      </c>
      <c r="AU201" s="159" t="str">
        <f t="shared" si="137"/>
        <v>5.27874675263463-1.16117139549473j</v>
      </c>
      <c r="AW201" s="159" t="str">
        <f t="shared" si="151"/>
        <v>1.75750558323455+0.642380532095342j</v>
      </c>
      <c r="AX201" s="159">
        <f t="shared" si="138"/>
        <v>5.4425147927997584</v>
      </c>
      <c r="AY201" s="159">
        <f t="shared" si="139"/>
        <v>-159.92228991275661</v>
      </c>
      <c r="AZ201" s="159" t="str">
        <f t="shared" si="140"/>
        <v>-0.354943693761327-0.140082871558795j</v>
      </c>
      <c r="BA201" s="159">
        <f t="shared" si="141"/>
        <v>-8.3681405752066613</v>
      </c>
      <c r="BB201" s="159">
        <f t="shared" si="142"/>
        <v>21.5372774371682</v>
      </c>
      <c r="BD201" s="159" t="str">
        <f t="shared" si="143"/>
        <v>-0.312254855884096-0.258713051906251j</v>
      </c>
      <c r="BE201" s="159">
        <f t="shared" si="144"/>
        <v>-7.8400431576277025</v>
      </c>
      <c r="BF201" s="159">
        <f t="shared" si="145"/>
        <v>39.642825828746879</v>
      </c>
      <c r="BH201" s="159">
        <f t="shared" si="152"/>
        <v>8.8400431576277025</v>
      </c>
      <c r="BI201" s="169">
        <f t="shared" si="153"/>
        <v>-39.642825828746879</v>
      </c>
      <c r="BN201" s="165"/>
      <c r="BO201" s="165"/>
      <c r="BP201" s="165"/>
    </row>
    <row r="202" spans="1:68" s="159" customFormat="1">
      <c r="A202" s="159">
        <v>138</v>
      </c>
      <c r="B202" s="159">
        <f t="shared" si="103"/>
        <v>57543.993733715761</v>
      </c>
      <c r="C202" s="159" t="str">
        <f t="shared" si="104"/>
        <v>361559.575944117j</v>
      </c>
      <c r="D202" s="159">
        <f t="shared" si="105"/>
        <v>0.9470190205627852</v>
      </c>
      <c r="E202" s="159" t="str">
        <f t="shared" si="106"/>
        <v>-0.361559575944117j</v>
      </c>
      <c r="F202" s="159" t="str">
        <f t="shared" si="107"/>
        <v>0.947019020562785-0.361559575944117j</v>
      </c>
      <c r="G202" s="159">
        <f t="shared" si="108"/>
        <v>0.11811565394193696</v>
      </c>
      <c r="H202" s="159">
        <f t="shared" si="109"/>
        <v>-20.896207541728494</v>
      </c>
      <c r="J202" s="159">
        <f t="shared" si="110"/>
        <v>6.3936063936063938</v>
      </c>
      <c r="K202" s="159" t="str">
        <f t="shared" si="111"/>
        <v>1+88.5947506914667j</v>
      </c>
      <c r="L202" s="159">
        <f t="shared" si="112"/>
        <v>-75.800672505610095</v>
      </c>
      <c r="M202" s="159" t="str">
        <f t="shared" si="113"/>
        <v>0.968100145480859j</v>
      </c>
      <c r="N202" s="159" t="str">
        <f t="shared" si="114"/>
        <v>-75.8006725056101+0.968100145480859j</v>
      </c>
      <c r="O202" s="159" t="str">
        <f t="shared" si="115"/>
        <v>0.00173455281431728-1.1687636605609j</v>
      </c>
      <c r="P202" s="159" t="str">
        <f t="shared" si="116"/>
        <v>0.0110900479636669-7.47261481277698j</v>
      </c>
      <c r="R202" s="159">
        <f t="shared" si="117"/>
        <v>31.968031968031973</v>
      </c>
      <c r="S202" s="159" t="str">
        <f t="shared" si="118"/>
        <v>1+0.0126545851580441j</v>
      </c>
      <c r="T202" s="159" t="str">
        <f t="shared" si="119"/>
        <v>-75.8006725056101+0.968100145480859j</v>
      </c>
      <c r="U202" s="159" t="str">
        <f t="shared" si="120"/>
        <v>-0.0131882117228607-0.000335380861478457j</v>
      </c>
      <c r="V202" s="159" t="str">
        <f t="shared" si="121"/>
        <v>-0.421601173957585-0.0107214661012094j</v>
      </c>
      <c r="X202" s="159" t="str">
        <f t="shared" si="122"/>
        <v>-0.105494416706511-0.277552921644104j</v>
      </c>
      <c r="Y202" s="159">
        <f t="shared" si="123"/>
        <v>-10.54705284309269</v>
      </c>
      <c r="Z202" s="159">
        <f t="shared" si="124"/>
        <v>69.188824604626078</v>
      </c>
      <c r="AB202" s="159" t="str">
        <f t="shared" si="125"/>
        <v>-0.185686489300852-0.00472207271579361j</v>
      </c>
      <c r="AC202" s="159">
        <f t="shared" si="126"/>
        <v>-14.621586207835067</v>
      </c>
      <c r="AD202" s="159">
        <f t="shared" si="127"/>
        <v>1.45673784857442</v>
      </c>
      <c r="AF202" s="159" t="str">
        <f t="shared" si="128"/>
        <v>-0.187860819387675-0.0635696333944973j</v>
      </c>
      <c r="AG202" s="159">
        <f t="shared" si="129"/>
        <v>-14.05245293523947</v>
      </c>
      <c r="AH202" s="159">
        <f t="shared" si="130"/>
        <v>18.695143901166375</v>
      </c>
      <c r="AJ202" s="159" t="str">
        <f t="shared" si="131"/>
        <v>26549.5379908433-58963.3298417804j</v>
      </c>
      <c r="AK202" s="159" t="str">
        <f t="shared" si="132"/>
        <v>30000-0.000325403618349705j</v>
      </c>
      <c r="AL202" s="159" t="str">
        <f t="shared" si="146"/>
        <v>10000-61462.1315565899j</v>
      </c>
      <c r="AM202" s="159" t="str">
        <f t="shared" si="147"/>
        <v>951.163338629056-19181.182894125j</v>
      </c>
      <c r="AN202" s="159" t="str">
        <f t="shared" si="148"/>
        <v>10951.1633386291-19181.182894125j</v>
      </c>
      <c r="AO202" s="159" t="str">
        <f t="shared" si="149"/>
        <v>11976.7388212946-8441.94500226812j</v>
      </c>
      <c r="AP202" s="159" t="str">
        <f t="shared" si="150"/>
        <v>0.254173334123232+0.265022605430043j</v>
      </c>
      <c r="AQ202" s="159" t="str">
        <f t="shared" si="133"/>
        <v>1+36.1198016368173j</v>
      </c>
      <c r="AR202" s="159">
        <f t="shared" si="134"/>
        <v>-1.9579190244489966E-4</v>
      </c>
      <c r="AS202" s="159" t="str">
        <f t="shared" si="135"/>
        <v>0.000985246228851959j</v>
      </c>
      <c r="AT202" s="159" t="str">
        <f t="shared" si="136"/>
        <v>-0.0001957919024449+0.000985246228851959j</v>
      </c>
      <c r="AU202" s="159" t="str">
        <f t="shared" si="137"/>
        <v>5.26108158576751-1.19774847955553j</v>
      </c>
      <c r="AW202" s="159" t="str">
        <f t="shared" si="151"/>
        <v>1.81862954135911+0.634300345308678j</v>
      </c>
      <c r="AX202" s="159">
        <f t="shared" si="138"/>
        <v>5.6934468292644063</v>
      </c>
      <c r="AY202" s="159">
        <f t="shared" si="139"/>
        <v>-160.77228548990598</v>
      </c>
      <c r="AZ202" s="159" t="str">
        <f t="shared" si="140"/>
        <v>-0.334699722519592-0.126368705220075j</v>
      </c>
      <c r="BA202" s="159">
        <f t="shared" si="141"/>
        <v>-8.9281393785706378</v>
      </c>
      <c r="BB202" s="159">
        <f t="shared" si="142"/>
        <v>20.684452358668466</v>
      </c>
      <c r="BD202" s="159" t="str">
        <f t="shared" si="143"/>
        <v>-0.301326995389078-0.234769795832175j</v>
      </c>
      <c r="BE202" s="159">
        <f t="shared" si="144"/>
        <v>-8.359006105975066</v>
      </c>
      <c r="BF202" s="159">
        <f t="shared" si="145"/>
        <v>37.922858411260449</v>
      </c>
      <c r="BH202" s="159">
        <f t="shared" si="152"/>
        <v>9.359006105975066</v>
      </c>
      <c r="BI202" s="169">
        <f t="shared" si="153"/>
        <v>-37.922858411260449</v>
      </c>
      <c r="BN202" s="165"/>
      <c r="BO202" s="165"/>
      <c r="BP202" s="165"/>
    </row>
    <row r="203" spans="1:68" s="159" customFormat="1">
      <c r="A203" s="159">
        <v>139</v>
      </c>
      <c r="B203" s="159">
        <f t="shared" si="103"/>
        <v>60255.95860743583</v>
      </c>
      <c r="C203" s="159" t="str">
        <f t="shared" si="104"/>
        <v>378599.353792262j</v>
      </c>
      <c r="D203" s="159">
        <f t="shared" si="105"/>
        <v>0.94190751123678385</v>
      </c>
      <c r="E203" s="159" t="str">
        <f t="shared" si="106"/>
        <v>-0.378599353792262j</v>
      </c>
      <c r="F203" s="159" t="str">
        <f t="shared" si="107"/>
        <v>0.941907511236784-0.378599353792262j</v>
      </c>
      <c r="G203" s="159">
        <f t="shared" si="108"/>
        <v>0.13059471965058037</v>
      </c>
      <c r="H203" s="159">
        <f t="shared" si="109"/>
        <v>-21.897641461381948</v>
      </c>
      <c r="J203" s="159">
        <f t="shared" si="110"/>
        <v>6.3936063936063938</v>
      </c>
      <c r="K203" s="159" t="str">
        <f t="shared" si="111"/>
        <v>1+92.7700926564869j</v>
      </c>
      <c r="L203" s="159">
        <f t="shared" si="112"/>
        <v>-83.210262851534381</v>
      </c>
      <c r="M203" s="159" t="str">
        <f t="shared" si="113"/>
        <v>1.01372529970524j</v>
      </c>
      <c r="N203" s="159" t="str">
        <f t="shared" si="114"/>
        <v>-83.2102628515344+1.01372529970524j</v>
      </c>
      <c r="O203" s="159" t="str">
        <f t="shared" si="115"/>
        <v>0.00156435602656576-1.11486857089641j</v>
      </c>
      <c r="P203" s="159" t="str">
        <f t="shared" si="116"/>
        <v>0.0100018766933275-7.12803082291411j</v>
      </c>
      <c r="R203" s="159">
        <f t="shared" si="117"/>
        <v>31.968031968031973</v>
      </c>
      <c r="S203" s="159" t="str">
        <f t="shared" si="118"/>
        <v>1+0.0132509773827292j</v>
      </c>
      <c r="T203" s="159" t="str">
        <f t="shared" si="119"/>
        <v>-83.2102628515344+1.01372529970524j</v>
      </c>
      <c r="U203" s="159" t="str">
        <f t="shared" si="120"/>
        <v>-0.0120140252058798-0.000305610123244036j</v>
      </c>
      <c r="V203" s="159" t="str">
        <f t="shared" si="121"/>
        <v>-0.384064741846307-0.00976975418961953j</v>
      </c>
      <c r="X203" s="159" t="str">
        <f t="shared" si="122"/>
        <v>-0.105414219260894-0.263324461751588j</v>
      </c>
      <c r="Y203" s="159">
        <f t="shared" si="123"/>
        <v>-10.94463534133213</v>
      </c>
      <c r="Z203" s="159">
        <f t="shared" si="124"/>
        <v>68.182754507697425</v>
      </c>
      <c r="AB203" s="159" t="str">
        <f t="shared" si="125"/>
        <v>-0.169154257584808-0.00430290869395267j</v>
      </c>
      <c r="AC203" s="159">
        <f t="shared" si="126"/>
        <v>-15.43153200575312</v>
      </c>
      <c r="AD203" s="159">
        <f t="shared" si="127"/>
        <v>1.4571631550132906</v>
      </c>
      <c r="AF203" s="159" t="str">
        <f t="shared" si="128"/>
        <v>-0.172706848401592-0.0556468118115919j</v>
      </c>
      <c r="AG203" s="159">
        <f t="shared" si="129"/>
        <v>-14.824844634677721</v>
      </c>
      <c r="AH203" s="159">
        <f t="shared" si="130"/>
        <v>17.85914052898201</v>
      </c>
      <c r="AJ203" s="159" t="str">
        <f t="shared" si="131"/>
        <v>24578.0124334343-57157.311545312j</v>
      </c>
      <c r="AK203" s="159" t="str">
        <f t="shared" si="132"/>
        <v>30000-0.000340739418413037j</v>
      </c>
      <c r="AL203" s="159" t="str">
        <f t="shared" si="146"/>
        <v>10000-58695.8799576176j</v>
      </c>
      <c r="AM203" s="159" t="str">
        <f t="shared" si="147"/>
        <v>950.023670403027-18327.5870602716j</v>
      </c>
      <c r="AN203" s="159" t="str">
        <f t="shared" si="148"/>
        <v>10950.023670403-18327.5870602716j</v>
      </c>
      <c r="AO203" s="159" t="str">
        <f t="shared" si="149"/>
        <v>11689.7198011391-8194.94652534459j</v>
      </c>
      <c r="AP203" s="159" t="str">
        <f t="shared" si="150"/>
        <v>0.262154080570688+0.2745432003944j</v>
      </c>
      <c r="AQ203" s="159" t="str">
        <f t="shared" si="133"/>
        <v>1+37.822075443847j</v>
      </c>
      <c r="AR203" s="159">
        <f t="shared" si="134"/>
        <v>-2.1469119983183913E-4</v>
      </c>
      <c r="AS203" s="159" t="str">
        <f t="shared" si="135"/>
        <v>0.00103167945309038j</v>
      </c>
      <c r="AT203" s="159" t="str">
        <f t="shared" si="136"/>
        <v>-0.000214691199831839+0.00103167945309038j</v>
      </c>
      <c r="AU203" s="159" t="str">
        <f t="shared" si="137"/>
        <v>5.24184776272873-1.23621594061575j</v>
      </c>
      <c r="AW203" s="159" t="str">
        <f t="shared" si="151"/>
        <v>1.88224032747931+0.621293811607968j</v>
      </c>
      <c r="AX203" s="159">
        <f t="shared" si="138"/>
        <v>5.942637514420273</v>
      </c>
      <c r="AY203" s="159">
        <f t="shared" si="139"/>
        <v>-161.73286891399249</v>
      </c>
      <c r="AZ203" s="159" t="str">
        <f t="shared" si="140"/>
        <v>-0.315715594647482-0.113193601713801j</v>
      </c>
      <c r="BA203" s="159">
        <f t="shared" si="141"/>
        <v>-9.4888944913328359</v>
      </c>
      <c r="BB203" s="159">
        <f t="shared" si="142"/>
        <v>19.724294241020885</v>
      </c>
      <c r="BD203" s="159" t="str">
        <f t="shared" si="143"/>
        <v>-0.290502775079077-0.212042369421656j</v>
      </c>
      <c r="BE203" s="159">
        <f t="shared" si="144"/>
        <v>-8.8822071202574318</v>
      </c>
      <c r="BF203" s="159">
        <f t="shared" si="145"/>
        <v>36.126271614989633</v>
      </c>
      <c r="BH203" s="159">
        <f t="shared" si="152"/>
        <v>9.8822071202574318</v>
      </c>
      <c r="BI203" s="169">
        <f t="shared" si="153"/>
        <v>-36.126271614989633</v>
      </c>
      <c r="BN203" s="165"/>
      <c r="BO203" s="165"/>
      <c r="BP203" s="165"/>
    </row>
    <row r="204" spans="1:68" s="159" customFormat="1">
      <c r="A204" s="159">
        <v>140</v>
      </c>
      <c r="B204" s="159">
        <f t="shared" si="103"/>
        <v>63095.734448019379</v>
      </c>
      <c r="C204" s="159" t="str">
        <f t="shared" si="104"/>
        <v>396442.1916295j</v>
      </c>
      <c r="D204" s="159">
        <f t="shared" si="105"/>
        <v>0.93630285271144054</v>
      </c>
      <c r="E204" s="159" t="str">
        <f t="shared" si="106"/>
        <v>-0.3964421916295j</v>
      </c>
      <c r="F204" s="159" t="str">
        <f t="shared" si="107"/>
        <v>0.936302852711441-0.3964421916295j</v>
      </c>
      <c r="G204" s="159">
        <f t="shared" si="108"/>
        <v>0.14448896646190967</v>
      </c>
      <c r="H204" s="159">
        <f t="shared" si="109"/>
        <v>-22.948399298970479</v>
      </c>
      <c r="J204" s="159">
        <f t="shared" si="110"/>
        <v>6.3936063936063938</v>
      </c>
      <c r="K204" s="159" t="str">
        <f t="shared" si="111"/>
        <v>1+97.1422124259345j</v>
      </c>
      <c r="L204" s="159">
        <f t="shared" si="112"/>
        <v>-91.334717108193956</v>
      </c>
      <c r="M204" s="159" t="str">
        <f t="shared" si="113"/>
        <v>1.06150070120281j</v>
      </c>
      <c r="N204" s="159" t="str">
        <f t="shared" si="114"/>
        <v>-91.334717108194+1.06150070120281j</v>
      </c>
      <c r="O204" s="159" t="str">
        <f t="shared" si="115"/>
        <v>0.00141215238166079-1.0635683396284j</v>
      </c>
      <c r="P204" s="159" t="str">
        <f t="shared" si="116"/>
        <v>0.00902874649613292-6.80003733628547j</v>
      </c>
      <c r="R204" s="159">
        <f t="shared" si="117"/>
        <v>31.968031968031973</v>
      </c>
      <c r="S204" s="159" t="str">
        <f t="shared" si="118"/>
        <v>1+0.0138754767070325j</v>
      </c>
      <c r="T204" s="159" t="str">
        <f t="shared" si="119"/>
        <v>-91.334717108194+1.06150070120281j</v>
      </c>
      <c r="U204" s="159" t="str">
        <f t="shared" si="120"/>
        <v>-0.0109454951687223-0.000279128553860227j</v>
      </c>
      <c r="V204" s="159" t="str">
        <f t="shared" si="121"/>
        <v>-0.349905939459654-0.00892319053299427j</v>
      </c>
      <c r="X204" s="159" t="str">
        <f t="shared" si="122"/>
        <v>-0.105340567128661-0.249712469587127j</v>
      </c>
      <c r="Y204" s="159">
        <f t="shared" si="123"/>
        <v>-11.339907424125055</v>
      </c>
      <c r="Z204" s="159">
        <f t="shared" si="124"/>
        <v>67.12767510164646</v>
      </c>
      <c r="AB204" s="159" t="str">
        <f t="shared" si="125"/>
        <v>-0.154109640810242-0.00393005528870041j</v>
      </c>
      <c r="AC204" s="159">
        <f t="shared" si="126"/>
        <v>-16.240580380892577</v>
      </c>
      <c r="AD204" s="159">
        <f t="shared" si="127"/>
        <v>1.4608222165606435</v>
      </c>
      <c r="AF204" s="159" t="str">
        <f t="shared" si="128"/>
        <v>-0.158667978175728-0.0486793369221882j</v>
      </c>
      <c r="AG204" s="159">
        <f t="shared" si="129"/>
        <v>-15.599539888918738</v>
      </c>
      <c r="AH204" s="159">
        <f t="shared" si="130"/>
        <v>17.056013861617544</v>
      </c>
      <c r="AJ204" s="159" t="str">
        <f t="shared" si="131"/>
        <v>22727.479895915-55344.7354423833j</v>
      </c>
      <c r="AK204" s="159" t="str">
        <f t="shared" si="132"/>
        <v>30000-0.00035679797246655j</v>
      </c>
      <c r="AL204" s="159" t="str">
        <f t="shared" si="146"/>
        <v>10000-56054.1301895291j</v>
      </c>
      <c r="AM204" s="159" t="str">
        <f t="shared" si="147"/>
        <v>948.777183929661-17512.8410159051j</v>
      </c>
      <c r="AN204" s="159" t="str">
        <f t="shared" si="148"/>
        <v>10948.7771839297-17512.8410159051j</v>
      </c>
      <c r="AO204" s="159" t="str">
        <f t="shared" si="149"/>
        <v>11419.7815400197-7946.32792820164j</v>
      </c>
      <c r="AP204" s="159" t="str">
        <f t="shared" si="150"/>
        <v>0.270710762928174+0.28414813916827j</v>
      </c>
      <c r="AQ204" s="159" t="str">
        <f t="shared" si="133"/>
        <v>1+39.604574943787j</v>
      </c>
      <c r="AR204" s="159">
        <f t="shared" si="134"/>
        <v>-2.3541386733904552E-4</v>
      </c>
      <c r="AS204" s="159" t="str">
        <f t="shared" si="135"/>
        <v>0.00108030100776847j</v>
      </c>
      <c r="AT204" s="159" t="str">
        <f t="shared" si="136"/>
        <v>-0.000235413867339046+0.00108030100776847j</v>
      </c>
      <c r="AU204" s="159" t="str">
        <f t="shared" si="137"/>
        <v>5.22091951667151-1.27656722021786j</v>
      </c>
      <c r="AW204" s="159" t="str">
        <f t="shared" si="151"/>
        <v>1.94807203995217+0.602807717165324j</v>
      </c>
      <c r="AX204" s="159">
        <f t="shared" si="138"/>
        <v>6.1892227435753533</v>
      </c>
      <c r="AY204" s="159">
        <f t="shared" si="139"/>
        <v>-162.80594016386738</v>
      </c>
      <c r="AZ204" s="159" t="str">
        <f t="shared" si="140"/>
        <v>-0.297847614692589-0.100554511593373j</v>
      </c>
      <c r="BA204" s="159">
        <f t="shared" si="141"/>
        <v>-10.051357637317238</v>
      </c>
      <c r="BB204" s="159">
        <f t="shared" si="142"/>
        <v>18.65488205269321</v>
      </c>
      <c r="BD204" s="159" t="str">
        <f t="shared" si="143"/>
        <v>-0.27975237195669-0.190477136892874j</v>
      </c>
      <c r="BE204" s="159">
        <f t="shared" si="144"/>
        <v>-9.4103171453434111</v>
      </c>
      <c r="BF204" s="159">
        <f t="shared" si="145"/>
        <v>34.250073697750224</v>
      </c>
      <c r="BH204" s="159">
        <f t="shared" si="152"/>
        <v>10.410317145343411</v>
      </c>
      <c r="BI204" s="169">
        <f t="shared" si="153"/>
        <v>-34.250073697750224</v>
      </c>
      <c r="BN204" s="165"/>
      <c r="BO204" s="165"/>
      <c r="BP204" s="165"/>
    </row>
    <row r="205" spans="1:68" s="159" customFormat="1">
      <c r="A205" s="159">
        <v>141</v>
      </c>
      <c r="B205" s="159">
        <f t="shared" si="103"/>
        <v>66069.344800759645</v>
      </c>
      <c r="C205" s="159" t="str">
        <f t="shared" si="104"/>
        <v>415125.936507115j</v>
      </c>
      <c r="D205" s="159">
        <f t="shared" si="105"/>
        <v>0.93015746684157341</v>
      </c>
      <c r="E205" s="159" t="str">
        <f t="shared" si="106"/>
        <v>-0.415125936507115j</v>
      </c>
      <c r="F205" s="159" t="str">
        <f t="shared" si="107"/>
        <v>0.930157466841573-0.415125936507115j</v>
      </c>
      <c r="G205" s="159">
        <f t="shared" si="108"/>
        <v>0.1599750541673747</v>
      </c>
      <c r="H205" s="159">
        <f t="shared" si="109"/>
        <v>-24.051035118583702</v>
      </c>
      <c r="J205" s="159">
        <f t="shared" si="110"/>
        <v>6.3936063936063938</v>
      </c>
      <c r="K205" s="159" t="str">
        <f t="shared" si="111"/>
        <v>1+101.720383852021j</v>
      </c>
      <c r="L205" s="159">
        <f t="shared" si="112"/>
        <v>-100.24300405618384</v>
      </c>
      <c r="M205" s="159" t="str">
        <f t="shared" si="113"/>
        <v>1.11152768800551j</v>
      </c>
      <c r="N205" s="159" t="str">
        <f t="shared" si="114"/>
        <v>-100.243004056184+1.11152768800551j</v>
      </c>
      <c r="O205" s="159" t="str">
        <f t="shared" si="115"/>
        <v>0.00127583607347902-1.01472383716562j</v>
      </c>
      <c r="P205" s="159" t="str">
        <f t="shared" si="116"/>
        <v>0.00815719367658914-6.48774481304692j</v>
      </c>
      <c r="R205" s="159">
        <f t="shared" si="117"/>
        <v>31.968031968031973</v>
      </c>
      <c r="S205" s="159" t="str">
        <f t="shared" si="118"/>
        <v>1+0.014529407777749j</v>
      </c>
      <c r="T205" s="159" t="str">
        <f t="shared" si="119"/>
        <v>-100.243004056184+1.11152768800551j</v>
      </c>
      <c r="U205" s="159" t="str">
        <f t="shared" si="120"/>
        <v>-0.00997292515660058-0.000255524966164829j</v>
      </c>
      <c r="V205" s="159" t="str">
        <f t="shared" si="121"/>
        <v>-0.318814790220998-0.00816863028698754j</v>
      </c>
      <c r="X205" s="159" t="str">
        <f t="shared" si="122"/>
        <v>-0.105272973503122-0.236680439713696j</v>
      </c>
      <c r="Y205" s="159">
        <f t="shared" si="123"/>
        <v>-11.732772889404535</v>
      </c>
      <c r="Z205" s="159">
        <f t="shared" si="124"/>
        <v>66.021004170495019</v>
      </c>
      <c r="AB205" s="159" t="str">
        <f t="shared" si="125"/>
        <v>-0.14041611549042-0.00359772309490753j</v>
      </c>
      <c r="AC205" s="159">
        <f t="shared" si="126"/>
        <v>-17.048810790130066</v>
      </c>
      <c r="AD205" s="159">
        <f t="shared" si="127"/>
        <v>1.467703749925704</v>
      </c>
      <c r="AF205" s="159" t="str">
        <f t="shared" si="128"/>
        <v>-0.145679747901741-0.0425574155670201j</v>
      </c>
      <c r="AG205" s="159">
        <f t="shared" si="129"/>
        <v>-16.376358683625888</v>
      </c>
      <c r="AH205" s="159">
        <f t="shared" si="130"/>
        <v>16.284664087038436</v>
      </c>
      <c r="AJ205" s="159" t="str">
        <f t="shared" si="131"/>
        <v>20994.2715327872-53533.5252829624j</v>
      </c>
      <c r="AK205" s="159" t="str">
        <f t="shared" si="132"/>
        <v>30000-0.000373613342856405j</v>
      </c>
      <c r="AL205" s="159" t="str">
        <f t="shared" si="146"/>
        <v>10000-53531.2787468805j</v>
      </c>
      <c r="AM205" s="159" t="str">
        <f t="shared" si="147"/>
        <v>947.414192797452-16735.2129158045j</v>
      </c>
      <c r="AN205" s="159" t="str">
        <f t="shared" si="148"/>
        <v>10947.4141927975-16735.2129158045j</v>
      </c>
      <c r="AO205" s="159" t="str">
        <f t="shared" si="149"/>
        <v>11166.4644280602-7697.26816418582j</v>
      </c>
      <c r="AP205" s="159" t="str">
        <f t="shared" si="150"/>
        <v>0.279867737293265+0.293803713061975j</v>
      </c>
      <c r="AQ205" s="159" t="str">
        <f t="shared" si="133"/>
        <v>1+41.4710810570608j</v>
      </c>
      <c r="AR205" s="159">
        <f t="shared" si="134"/>
        <v>-2.5813582042662214E-4</v>
      </c>
      <c r="AS205" s="159" t="str">
        <f t="shared" si="135"/>
        <v>0.00113121402572252j</v>
      </c>
      <c r="AT205" s="159" t="str">
        <f t="shared" si="136"/>
        <v>-0.000258135820426622+0.00113121402572252j</v>
      </c>
      <c r="AU205" s="159" t="str">
        <f t="shared" si="137"/>
        <v>5.19816359523774-1.31878865576798j</v>
      </c>
      <c r="AW205" s="159" t="str">
        <f t="shared" si="151"/>
        <v>2.0157768690487+0.578275424126015j</v>
      </c>
      <c r="AX205" s="159">
        <f t="shared" si="138"/>
        <v>6.4323141144060871</v>
      </c>
      <c r="AY205" s="159">
        <f t="shared" si="139"/>
        <v>-163.99315295365415</v>
      </c>
      <c r="AZ205" s="159" t="str">
        <f t="shared" si="140"/>
        <v>-0.280967082798663-0.0884513957353069j</v>
      </c>
      <c r="BA205" s="159">
        <f t="shared" si="141"/>
        <v>-10.616496675724008</v>
      </c>
      <c r="BB205" s="159">
        <f t="shared" si="142"/>
        <v>17.474550796271558</v>
      </c>
      <c r="BD205" s="159" t="str">
        <f t="shared" si="143"/>
        <v>-0.269047958572448-0.170029271910942j</v>
      </c>
      <c r="BE205" s="159">
        <f t="shared" si="144"/>
        <v>-9.9440445692198498</v>
      </c>
      <c r="BF205" s="159">
        <f t="shared" si="145"/>
        <v>32.291511133384432</v>
      </c>
      <c r="BH205" s="159">
        <f t="shared" si="152"/>
        <v>10.94404456921985</v>
      </c>
      <c r="BI205" s="169">
        <f t="shared" si="153"/>
        <v>-32.291511133384432</v>
      </c>
      <c r="BN205" s="165"/>
      <c r="BO205" s="165"/>
      <c r="BP205" s="165"/>
    </row>
    <row r="206" spans="1:68" s="159" customFormat="1">
      <c r="A206" s="159">
        <v>142</v>
      </c>
      <c r="B206" s="159">
        <f t="shared" si="103"/>
        <v>69183.097091893665</v>
      </c>
      <c r="C206" s="159" t="str">
        <f t="shared" si="104"/>
        <v>434690.219152965j</v>
      </c>
      <c r="D206" s="159">
        <f t="shared" si="105"/>
        <v>0.92341918522837774</v>
      </c>
      <c r="E206" s="159" t="str">
        <f t="shared" si="106"/>
        <v>-0.434690219152965j</v>
      </c>
      <c r="F206" s="159" t="str">
        <f t="shared" si="107"/>
        <v>0.923419185228378-0.434690219152965j</v>
      </c>
      <c r="G206" s="159">
        <f t="shared" si="108"/>
        <v>0.17725394713264764</v>
      </c>
      <c r="H206" s="159">
        <f t="shared" si="109"/>
        <v>-25.208235682701812</v>
      </c>
      <c r="J206" s="159">
        <f t="shared" si="110"/>
        <v>6.3936063936063938</v>
      </c>
      <c r="K206" s="159" t="str">
        <f t="shared" si="111"/>
        <v>1+106.514317850147j</v>
      </c>
      <c r="L206" s="159">
        <f t="shared" si="112"/>
        <v>-110.01074645964182</v>
      </c>
      <c r="M206" s="159" t="str">
        <f t="shared" si="113"/>
        <v>1.16391237405958j</v>
      </c>
      <c r="N206" s="159" t="str">
        <f t="shared" si="114"/>
        <v>-110.010746459642+1.16391237405958j</v>
      </c>
      <c r="O206" s="159" t="str">
        <f t="shared" si="115"/>
        <v>0.00115357817441412-0.968205185529854j</v>
      </c>
      <c r="P206" s="159" t="str">
        <f t="shared" si="116"/>
        <v>0.00737552479145891-6.19032286452654j</v>
      </c>
      <c r="R206" s="159">
        <f t="shared" si="117"/>
        <v>31.968031968031973</v>
      </c>
      <c r="S206" s="159" t="str">
        <f t="shared" si="118"/>
        <v>1+0.0152141576703538j</v>
      </c>
      <c r="T206" s="159" t="str">
        <f t="shared" si="119"/>
        <v>-110.010746459642+1.16391237405958j</v>
      </c>
      <c r="U206" s="159" t="str">
        <f t="shared" si="120"/>
        <v>-0.00908754063549921-0.000234443083933098j</v>
      </c>
      <c r="V206" s="159" t="str">
        <f t="shared" si="121"/>
        <v>-0.290510789546428-0.00749468400185728j</v>
      </c>
      <c r="X206" s="159" t="str">
        <f t="shared" si="122"/>
        <v>-0.105210978654412-0.224194114876512j</v>
      </c>
      <c r="Y206" s="159">
        <f t="shared" si="123"/>
        <v>-12.123103863215061</v>
      </c>
      <c r="Z206" s="159">
        <f t="shared" si="124"/>
        <v>64.860029939549065</v>
      </c>
      <c r="AB206" s="159" t="str">
        <f t="shared" si="125"/>
        <v>-0.127950138536194-0.00330089583873917j</v>
      </c>
      <c r="AC206" s="159">
        <f t="shared" si="126"/>
        <v>-17.856295296002482</v>
      </c>
      <c r="AD206" s="159">
        <f t="shared" si="127"/>
        <v>1.4778058158469207</v>
      </c>
      <c r="AF206" s="159" t="str">
        <f t="shared" si="128"/>
        <v>-0.133678397444631-0.0371828498542774j</v>
      </c>
      <c r="AG206" s="159">
        <f t="shared" si="129"/>
        <v>-17.15513358194179</v>
      </c>
      <c r="AH206" s="159">
        <f t="shared" si="130"/>
        <v>15.543989153172049</v>
      </c>
      <c r="AJ206" s="159" t="str">
        <f t="shared" si="131"/>
        <v>19374.2375865452-51730.854794996j</v>
      </c>
      <c r="AK206" s="159" t="str">
        <f t="shared" si="132"/>
        <v>30000-0.00039122119723767j</v>
      </c>
      <c r="AL206" s="159" t="str">
        <f t="shared" si="146"/>
        <v>10000-51121.9743235179j</v>
      </c>
      <c r="AM206" s="159" t="str">
        <f t="shared" si="147"/>
        <v>945.924196693479-15993.0491337561j</v>
      </c>
      <c r="AN206" s="159" t="str">
        <f t="shared" si="148"/>
        <v>10945.9241966935-15993.0491337561j</v>
      </c>
      <c r="AO206" s="159" t="str">
        <f t="shared" si="149"/>
        <v>10929.2302511531-7448.84292153842j</v>
      </c>
      <c r="AP206" s="159" t="str">
        <f t="shared" si="150"/>
        <v>0.289647450901882+0.303472229220289j</v>
      </c>
      <c r="AQ206" s="159" t="str">
        <f t="shared" si="133"/>
        <v>1+43.4255528933812j</v>
      </c>
      <c r="AR206" s="159">
        <f t="shared" si="134"/>
        <v>-2.8304994656093863E-4</v>
      </c>
      <c r="AS206" s="159" t="str">
        <f t="shared" si="135"/>
        <v>0.00118452650028964j</v>
      </c>
      <c r="AT206" s="159" t="str">
        <f t="shared" si="136"/>
        <v>-0.000283049946560939+0.00118452650028964j</v>
      </c>
      <c r="AU206" s="159" t="str">
        <f t="shared" si="137"/>
        <v>5.17343932371567-1.3628582591603j</v>
      </c>
      <c r="AW206" s="159" t="str">
        <f t="shared" si="151"/>
        <v>2.08491601997434+0.547126795116347j</v>
      </c>
      <c r="AX206" s="159">
        <f t="shared" si="138"/>
        <v>6.6710000738004975</v>
      </c>
      <c r="AY206" s="159">
        <f t="shared" si="139"/>
        <v>-165.29590380939101</v>
      </c>
      <c r="AZ206" s="159" t="str">
        <f t="shared" si="140"/>
        <v>-0.264959285030784-0.0768870398464542j</v>
      </c>
      <c r="BA206" s="159">
        <f t="shared" si="141"/>
        <v>-11.18529522220201</v>
      </c>
      <c r="BB206" s="159">
        <f t="shared" si="142"/>
        <v>16.181902006455914</v>
      </c>
      <c r="BD206" s="159" t="str">
        <f t="shared" si="143"/>
        <v>-0.258364498882744-0.150662152499653j</v>
      </c>
      <c r="BE206" s="159">
        <f t="shared" si="144"/>
        <v>-10.484133508141326</v>
      </c>
      <c r="BF206" s="159">
        <f t="shared" si="145"/>
        <v>30.248085343781042</v>
      </c>
      <c r="BH206" s="159">
        <f t="shared" si="152"/>
        <v>11.484133508141326</v>
      </c>
      <c r="BI206" s="169">
        <f t="shared" si="153"/>
        <v>-30.248085343781042</v>
      </c>
      <c r="BN206" s="165"/>
      <c r="BO206" s="165"/>
      <c r="BP206" s="165"/>
    </row>
    <row r="207" spans="1:68" s="159" customFormat="1">
      <c r="A207" s="159">
        <v>143</v>
      </c>
      <c r="B207" s="159">
        <f t="shared" si="103"/>
        <v>72443.596007499029</v>
      </c>
      <c r="C207" s="159" t="str">
        <f t="shared" si="104"/>
        <v>455176.538033572j</v>
      </c>
      <c r="D207" s="159">
        <f t="shared" si="105"/>
        <v>0.91603080636003609</v>
      </c>
      <c r="E207" s="159" t="str">
        <f t="shared" si="106"/>
        <v>-0.455176538033572j</v>
      </c>
      <c r="F207" s="159" t="str">
        <f t="shared" si="107"/>
        <v>0.916030806360036-0.455176538033572j</v>
      </c>
      <c r="G207" s="159">
        <f t="shared" si="108"/>
        <v>0.19655444550247494</v>
      </c>
      <c r="H207" s="159">
        <f t="shared" si="109"/>
        <v>-26.422823173974294</v>
      </c>
      <c r="J207" s="159">
        <f t="shared" si="110"/>
        <v>6.3936063936063938</v>
      </c>
      <c r="K207" s="159" t="str">
        <f t="shared" si="111"/>
        <v>1+111.534182997056j</v>
      </c>
      <c r="L207" s="159">
        <f t="shared" si="112"/>
        <v>-120.72086303057671</v>
      </c>
      <c r="M207" s="159" t="str">
        <f t="shared" si="113"/>
        <v>1.21876587430748j</v>
      </c>
      <c r="N207" s="159" t="str">
        <f t="shared" si="114"/>
        <v>-120.720863030577+1.21876587430748j</v>
      </c>
      <c r="O207" s="159" t="str">
        <f t="shared" si="115"/>
        <v>0.00104378595755823-0.923890933732813j</v>
      </c>
      <c r="P207" s="159" t="str">
        <f t="shared" si="116"/>
        <v>0.00667355657180087-5.90699498090909j</v>
      </c>
      <c r="R207" s="159">
        <f t="shared" si="117"/>
        <v>31.968031968031973</v>
      </c>
      <c r="S207" s="159" t="str">
        <f t="shared" si="118"/>
        <v>1+0.015931178831175j</v>
      </c>
      <c r="T207" s="159" t="str">
        <f t="shared" si="119"/>
        <v>-120.720863030577+1.21876587430748j</v>
      </c>
      <c r="U207" s="159" t="str">
        <f t="shared" si="120"/>
        <v>-0.00828139594803191-0.000215573853192823j</v>
      </c>
      <c r="V207" s="159" t="str">
        <f t="shared" si="121"/>
        <v>-0.264739930406615-0.00689147183034j</v>
      </c>
      <c r="X207" s="159" t="str">
        <f t="shared" si="122"/>
        <v>-0.10515415038731-0.21222127502727j</v>
      </c>
      <c r="Y207" s="159">
        <f t="shared" si="123"/>
        <v>-12.510737966195522</v>
      </c>
      <c r="Z207" s="159">
        <f t="shared" si="124"/>
        <v>63.641907956568303</v>
      </c>
      <c r="AB207" s="159" t="str">
        <f t="shared" si="125"/>
        <v>-0.116599837219386-0.00303522212303017j</v>
      </c>
      <c r="AC207" s="159">
        <f t="shared" si="126"/>
        <v>-18.663099255686816</v>
      </c>
      <c r="AD207" s="159">
        <f t="shared" si="127"/>
        <v>1.4911354694013426</v>
      </c>
      <c r="AF207" s="159" t="str">
        <f t="shared" si="128"/>
        <v>-0.122601489604868-0.0324680128759529j</v>
      </c>
      <c r="AG207" s="159">
        <f t="shared" si="129"/>
        <v>-17.935709127826385</v>
      </c>
      <c r="AH207" s="159">
        <f t="shared" si="130"/>
        <v>14.832889867482862</v>
      </c>
      <c r="AJ207" s="159" t="str">
        <f t="shared" si="131"/>
        <v>17862.8557583006-49943.1493409306j</v>
      </c>
      <c r="AK207" s="159" t="str">
        <f t="shared" si="132"/>
        <v>30000-0.000409658884230216j</v>
      </c>
      <c r="AL207" s="159" t="str">
        <f t="shared" si="146"/>
        <v>10000-48821.1064617378j</v>
      </c>
      <c r="AM207" s="159" t="str">
        <f t="shared" si="147"/>
        <v>944.295825854646-15284.7706861954j</v>
      </c>
      <c r="AN207" s="159" t="str">
        <f t="shared" si="148"/>
        <v>10944.2958258546-15284.7706861954j</v>
      </c>
      <c r="AO207" s="159" t="str">
        <f t="shared" si="149"/>
        <v>10707.4780033004-7202.02335458759j</v>
      </c>
      <c r="AP207" s="159" t="str">
        <f t="shared" si="150"/>
        <v>0.300069870583936+0.313111991232483j</v>
      </c>
      <c r="AQ207" s="159" t="str">
        <f t="shared" si="133"/>
        <v>1+45.4721361495538j</v>
      </c>
      <c r="AR207" s="159">
        <f t="shared" si="134"/>
        <v>-3.1036774264317767E-4</v>
      </c>
      <c r="AS207" s="159" t="str">
        <f t="shared" si="135"/>
        <v>0.0012403515143761j</v>
      </c>
      <c r="AT207" s="159" t="str">
        <f t="shared" si="136"/>
        <v>-0.000310367742643178+0.0012403515143761j</v>
      </c>
      <c r="AU207" s="159" t="str">
        <f t="shared" si="137"/>
        <v>5.14659879020715-1.40874439911142j</v>
      </c>
      <c r="AW207" s="159" t="str">
        <f t="shared" si="151"/>
        <v>2.15495130669635+0.508800553109279j</v>
      </c>
      <c r="AX207" s="159">
        <f t="shared" si="138"/>
        <v>6.9043471130758256</v>
      </c>
      <c r="AY207" s="159">
        <f t="shared" si="139"/>
        <v>-166.71531973342348</v>
      </c>
      <c r="AZ207" s="159" t="str">
        <f t="shared" si="140"/>
        <v>-0.249722648881489-0.0658668175498128j</v>
      </c>
      <c r="BA207" s="159">
        <f t="shared" si="141"/>
        <v>-11.758752142611041</v>
      </c>
      <c r="BB207" s="159">
        <f t="shared" si="142"/>
        <v>14.775815735977886</v>
      </c>
      <c r="BD207" s="159" t="str">
        <f t="shared" si="143"/>
        <v>-0.247680497317284-0.132346692495846j</v>
      </c>
      <c r="BE207" s="159">
        <f t="shared" si="144"/>
        <v>-11.031362014750609</v>
      </c>
      <c r="BF207" s="159">
        <f t="shared" si="145"/>
        <v>28.117570134059321</v>
      </c>
      <c r="BH207" s="159">
        <f t="shared" si="152"/>
        <v>12.031362014750609</v>
      </c>
      <c r="BI207" s="169">
        <f t="shared" si="153"/>
        <v>-28.117570134059321</v>
      </c>
      <c r="BN207" s="165"/>
      <c r="BO207" s="165"/>
      <c r="BP207" s="165"/>
    </row>
    <row r="208" spans="1:68" s="159" customFormat="1">
      <c r="A208" s="159">
        <v>144</v>
      </c>
      <c r="B208" s="159">
        <f t="shared" si="103"/>
        <v>75857.757502918379</v>
      </c>
      <c r="C208" s="159" t="str">
        <f t="shared" si="104"/>
        <v>476628.347377929j</v>
      </c>
      <c r="D208" s="159">
        <f t="shared" si="105"/>
        <v>0.90792961002605466</v>
      </c>
      <c r="E208" s="159" t="str">
        <f t="shared" si="106"/>
        <v>-0.476628347377929j</v>
      </c>
      <c r="F208" s="159" t="str">
        <f t="shared" si="107"/>
        <v>0.907929610026055-0.476628347377929j</v>
      </c>
      <c r="G208" s="159">
        <f t="shared" si="108"/>
        <v>0.21813720427441607</v>
      </c>
      <c r="H208" s="159">
        <f t="shared" si="109"/>
        <v>-27.697756254830725</v>
      </c>
      <c r="J208" s="159">
        <f t="shared" si="110"/>
        <v>6.3936063936063938</v>
      </c>
      <c r="K208" s="159" t="str">
        <f t="shared" si="111"/>
        <v>1+116.790627099751j</v>
      </c>
      <c r="L208" s="159">
        <f t="shared" si="112"/>
        <v>-132.46427232875831</v>
      </c>
      <c r="M208" s="159" t="str">
        <f t="shared" si="113"/>
        <v>1.27620454037758j</v>
      </c>
      <c r="N208" s="159" t="str">
        <f t="shared" si="114"/>
        <v>-132.464272328758+1.27620454037758j</v>
      </c>
      <c r="O208" s="159" t="str">
        <f t="shared" si="115"/>
        <v>0.000945068768367872-0.88166732769152j</v>
      </c>
      <c r="P208" s="159" t="str">
        <f t="shared" si="116"/>
        <v>0.00604239771983455-5.63703386336237j</v>
      </c>
      <c r="R208" s="159">
        <f t="shared" si="117"/>
        <v>31.968031968031973</v>
      </c>
      <c r="S208" s="159" t="str">
        <f t="shared" si="118"/>
        <v>1+0.0166819921582275j</v>
      </c>
      <c r="T208" s="159" t="str">
        <f t="shared" si="119"/>
        <v>-132.464272328758+1.27620454037758j</v>
      </c>
      <c r="U208" s="159" t="str">
        <f t="shared" si="120"/>
        <v>-0.00754729155126994-0.000198648884268236j</v>
      </c>
      <c r="V208" s="159" t="str">
        <f t="shared" si="121"/>
        <v>-0.241272057583055-0.00635041388270085j</v>
      </c>
      <c r="X208" s="159" t="str">
        <f t="shared" si="122"/>
        <v>-0.105102083933767-0.200731549985556j</v>
      </c>
      <c r="Y208" s="159">
        <f t="shared" si="123"/>
        <v>-12.895474922238384</v>
      </c>
      <c r="Z208" s="159">
        <f t="shared" si="124"/>
        <v>62.363659688958535</v>
      </c>
      <c r="AB208" s="159" t="str">
        <f t="shared" si="125"/>
        <v>-0.10626384390357-0.00279692309301953j</v>
      </c>
      <c r="AC208" s="159">
        <f t="shared" si="126"/>
        <v>-19.46928193972478</v>
      </c>
      <c r="AD208" s="159">
        <f t="shared" si="127"/>
        <v>1.5077084769547184</v>
      </c>
      <c r="AF208" s="159" t="str">
        <f t="shared" si="128"/>
        <v>-0.112388395237097-0.028334874195276j</v>
      </c>
      <c r="AG208" s="159">
        <f t="shared" si="129"/>
        <v>-18.717941232839486</v>
      </c>
      <c r="AH208" s="159">
        <f t="shared" si="130"/>
        <v>14.150274329781212</v>
      </c>
      <c r="AJ208" s="159" t="str">
        <f t="shared" si="131"/>
        <v>16455.3305376959-48176.1004709003j</v>
      </c>
      <c r="AK208" s="159" t="str">
        <f t="shared" si="132"/>
        <v>30000-0.000428965512640137j</v>
      </c>
      <c r="AL208" s="159" t="str">
        <f t="shared" si="146"/>
        <v>10000-46623.7947123228j</v>
      </c>
      <c r="AM208" s="159" t="str">
        <f t="shared" si="147"/>
        <v>942.516784373787-14608.8698057488j</v>
      </c>
      <c r="AN208" s="159" t="str">
        <f t="shared" si="148"/>
        <v>10942.5167843738-14608.8698057488j</v>
      </c>
      <c r="AO208" s="159" t="str">
        <f t="shared" si="149"/>
        <v>10500.558570961-6957.67685243916j</v>
      </c>
      <c r="AP208" s="159" t="str">
        <f t="shared" si="150"/>
        <v>0.31115186934966+0.322677360175964j</v>
      </c>
      <c r="AQ208" s="159" t="str">
        <f t="shared" si="133"/>
        <v>1+47.6151719030551j</v>
      </c>
      <c r="AR208" s="159">
        <f t="shared" si="134"/>
        <v>-3.403211104140377E-4</v>
      </c>
      <c r="AS208" s="159" t="str">
        <f t="shared" si="135"/>
        <v>0.00129880748032138j</v>
      </c>
      <c r="AT208" s="159" t="str">
        <f t="shared" si="136"/>
        <v>-0.000340321110414038+0.00129880748032138j</v>
      </c>
      <c r="AU208" s="159" t="str">
        <f t="shared" si="137"/>
        <v>5.11748717674771-1.45640439185977j</v>
      </c>
      <c r="AW208" s="159" t="str">
        <f t="shared" si="151"/>
        <v>2.22523793852376+0.462759219483405j</v>
      </c>
      <c r="AX208" s="159">
        <f t="shared" si="138"/>
        <v>7.13140108241174</v>
      </c>
      <c r="AY208" s="159">
        <f t="shared" si="139"/>
        <v>-168.25224438741063</v>
      </c>
      <c r="AZ208" s="159" t="str">
        <f t="shared" si="140"/>
        <v>-0.235168035000109-0.0553983928418426j</v>
      </c>
      <c r="BA208" s="159">
        <f t="shared" si="141"/>
        <v>-12.337880857313069</v>
      </c>
      <c r="BB208" s="159">
        <f t="shared" si="142"/>
        <v>13.25546408954412</v>
      </c>
      <c r="BD208" s="159" t="str">
        <f t="shared" si="143"/>
        <v>-0.236978696664625-0.115060603101537j</v>
      </c>
      <c r="BE208" s="159">
        <f t="shared" si="144"/>
        <v>-11.586540150427746</v>
      </c>
      <c r="BF208" s="159">
        <f t="shared" si="145"/>
        <v>25.898029942370471</v>
      </c>
      <c r="BH208" s="159">
        <f t="shared" si="152"/>
        <v>12.586540150427746</v>
      </c>
      <c r="BI208" s="169">
        <f t="shared" si="153"/>
        <v>-25.898029942370471</v>
      </c>
      <c r="BN208" s="165"/>
      <c r="BO208" s="165"/>
      <c r="BP208" s="165"/>
    </row>
    <row r="209" spans="1:68" s="159" customFormat="1">
      <c r="A209" s="159">
        <v>145</v>
      </c>
      <c r="B209" s="159">
        <f t="shared" si="103"/>
        <v>79432.823472428208</v>
      </c>
      <c r="C209" s="159" t="str">
        <f t="shared" si="104"/>
        <v>499091.149349751j</v>
      </c>
      <c r="D209" s="159">
        <f t="shared" si="105"/>
        <v>0.899046824883169</v>
      </c>
      <c r="E209" s="159" t="str">
        <f t="shared" si="106"/>
        <v>-0.499091149349751j</v>
      </c>
      <c r="F209" s="159" t="str">
        <f t="shared" si="107"/>
        <v>0.899046824883169-0.499091149349751j</v>
      </c>
      <c r="G209" s="159">
        <f t="shared" si="108"/>
        <v>0.24229928711204307</v>
      </c>
      <c r="H209" s="159">
        <f t="shared" si="109"/>
        <v>-29.036128849802637</v>
      </c>
      <c r="J209" s="159">
        <f t="shared" si="110"/>
        <v>6.3936063936063938</v>
      </c>
      <c r="K209" s="159" t="str">
        <f t="shared" si="111"/>
        <v>1+122.294799780916j</v>
      </c>
      <c r="L209" s="159">
        <f t="shared" si="112"/>
        <v>-145.34066457259954</v>
      </c>
      <c r="M209" s="159" t="str">
        <f t="shared" si="113"/>
        <v>1.33635020738154j</v>
      </c>
      <c r="N209" s="159" t="str">
        <f t="shared" si="114"/>
        <v>-145.3406645726+1.33635020738154j</v>
      </c>
      <c r="O209" s="159" t="str">
        <f t="shared" si="115"/>
        <v>0.000856209313349993-0.841427662003946j</v>
      </c>
      <c r="P209" s="159" t="str">
        <f t="shared" si="116"/>
        <v>0.00547426534009986-5.37975727954571j</v>
      </c>
      <c r="R209" s="159">
        <f t="shared" si="117"/>
        <v>31.968031968031973</v>
      </c>
      <c r="S209" s="159" t="str">
        <f t="shared" si="118"/>
        <v>1+0.0174681902272413j</v>
      </c>
      <c r="T209" s="159" t="str">
        <f t="shared" si="119"/>
        <v>-145.3406645726+1.33635020738154j</v>
      </c>
      <c r="U209" s="159" t="str">
        <f t="shared" si="120"/>
        <v>-0.00687870025737482-0.000183434848196819j</v>
      </c>
      <c r="V209" s="159" t="str">
        <f t="shared" si="121"/>
        <v>-0.219898509726268-0.005864051091207j</v>
      </c>
      <c r="X209" s="159" t="str">
        <f t="shared" si="122"/>
        <v>-0.105054401430026-0.189696252534522j</v>
      </c>
      <c r="Y209" s="159">
        <f t="shared" si="123"/>
        <v>-13.277072570113964</v>
      </c>
      <c r="Z209" s="159">
        <f t="shared" si="124"/>
        <v>61.022173444402711</v>
      </c>
      <c r="AB209" s="159" t="str">
        <f t="shared" si="125"/>
        <v>-0.0968502575319392-0.00258271353939969j</v>
      </c>
      <c r="AC209" s="159">
        <f t="shared" si="126"/>
        <v>-20.274897088073139</v>
      </c>
      <c r="AD209" s="159">
        <f t="shared" si="127"/>
        <v>1.5275490921359278</v>
      </c>
      <c r="AF209" s="159" t="str">
        <f t="shared" si="128"/>
        <v>-0.102980660432668-0.0247140819982228j</v>
      </c>
      <c r="AG209" s="159">
        <f t="shared" si="129"/>
        <v>-19.501696556599864</v>
      </c>
      <c r="AH209" s="159">
        <f t="shared" si="130"/>
        <v>13.495061744532876</v>
      </c>
      <c r="AJ209" s="159" t="str">
        <f t="shared" si="131"/>
        <v>15146.6826170378-46434.6908881946j</v>
      </c>
      <c r="AK209" s="159" t="str">
        <f t="shared" si="132"/>
        <v>30000-0.000449182034414775j</v>
      </c>
      <c r="AL209" s="159" t="str">
        <f t="shared" si="146"/>
        <v>10000-44525.3782824536j</v>
      </c>
      <c r="AM209" s="159" t="str">
        <f t="shared" si="147"/>
        <v>940.573792973721-13963.9066565701j</v>
      </c>
      <c r="AN209" s="159" t="str">
        <f t="shared" si="148"/>
        <v>10940.5737929737-13963.9066565701j</v>
      </c>
      <c r="AO209" s="159" t="str">
        <f t="shared" si="149"/>
        <v>10307.7881150624-6716.56949161025j</v>
      </c>
      <c r="AP209" s="159" t="str">
        <f t="shared" si="150"/>
        <v>0.322906581553803+0.332118909450451j</v>
      </c>
      <c r="AQ209" s="159" t="str">
        <f t="shared" si="133"/>
        <v>1+49.8592058200401j</v>
      </c>
      <c r="AR209" s="159">
        <f t="shared" si="134"/>
        <v>-3.7316432507584368E-4</v>
      </c>
      <c r="AS209" s="159" t="str">
        <f t="shared" si="135"/>
        <v>0.00136001839106658j</v>
      </c>
      <c r="AT209" s="159" t="str">
        <f t="shared" si="136"/>
        <v>-0.000373164325075844+0.00136001839106658j</v>
      </c>
      <c r="AU209" s="159" t="str">
        <f t="shared" si="137"/>
        <v>5.08594326242818-1.50578300878123j</v>
      </c>
      <c r="AW209" s="159" t="str">
        <f t="shared" si="151"/>
        <v>2.29501911306383+0.408506680267716j</v>
      </c>
      <c r="AX209" s="159">
        <f t="shared" si="138"/>
        <v>7.3511886980216463</v>
      </c>
      <c r="AY209" s="159">
        <f t="shared" si="139"/>
        <v>-169.90722282741598</v>
      </c>
      <c r="AZ209" s="159" t="str">
        <f t="shared" si="140"/>
        <v>-0.221218136406892-0.0454913541239369j</v>
      </c>
      <c r="BA209" s="159">
        <f t="shared" si="141"/>
        <v>-12.923708390051491</v>
      </c>
      <c r="BB209" s="159">
        <f t="shared" si="142"/>
        <v>11.620326264719949</v>
      </c>
      <c r="BD209" s="159" t="str">
        <f t="shared" si="143"/>
        <v>-0.226246716375951-0.0987875782728744j</v>
      </c>
      <c r="BE209" s="159">
        <f t="shared" si="144"/>
        <v>-12.150507858578216</v>
      </c>
      <c r="BF209" s="159">
        <f t="shared" si="145"/>
        <v>23.587838917116954</v>
      </c>
      <c r="BH209" s="159">
        <f t="shared" si="152"/>
        <v>13.150507858578216</v>
      </c>
      <c r="BI209" s="169">
        <f t="shared" si="153"/>
        <v>-23.587838917116954</v>
      </c>
      <c r="BN209" s="165"/>
      <c r="BO209" s="165"/>
      <c r="BP209" s="165"/>
    </row>
    <row r="210" spans="1:68" s="159" customFormat="1">
      <c r="A210" s="159">
        <v>146</v>
      </c>
      <c r="B210" s="159">
        <f t="shared" si="103"/>
        <v>83176.377110267145</v>
      </c>
      <c r="C210" s="159" t="str">
        <f t="shared" si="104"/>
        <v>522612.590563659j</v>
      </c>
      <c r="D210" s="159">
        <f t="shared" si="105"/>
        <v>0.88930704465296995</v>
      </c>
      <c r="E210" s="159" t="str">
        <f t="shared" si="106"/>
        <v>-0.522612590563659j</v>
      </c>
      <c r="F210" s="159" t="str">
        <f t="shared" si="107"/>
        <v>0.88930704465297-0.522612590563659j</v>
      </c>
      <c r="G210" s="159">
        <f t="shared" si="108"/>
        <v>0.26937929699258228</v>
      </c>
      <c r="H210" s="159">
        <f t="shared" si="109"/>
        <v>-30.441165882548045</v>
      </c>
      <c r="J210" s="159">
        <f t="shared" si="110"/>
        <v>6.3936063936063938</v>
      </c>
      <c r="K210" s="159" t="str">
        <f t="shared" si="111"/>
        <v>1+128.058376128766j</v>
      </c>
      <c r="L210" s="159">
        <f t="shared" si="112"/>
        <v>-159.45934791295906</v>
      </c>
      <c r="M210" s="159" t="str">
        <f t="shared" si="113"/>
        <v>1.39933045234295j</v>
      </c>
      <c r="N210" s="159" t="str">
        <f t="shared" si="114"/>
        <v>-159.459347912959+1.39933045234295j</v>
      </c>
      <c r="O210" s="159" t="str">
        <f t="shared" si="115"/>
        <v>0.000776139440802526-0.803071702783529j</v>
      </c>
      <c r="P210" s="159" t="str">
        <f t="shared" si="116"/>
        <v>0.00496233009104512-5.13452437344114j</v>
      </c>
      <c r="R210" s="159">
        <f t="shared" si="117"/>
        <v>31.968031968031973</v>
      </c>
      <c r="S210" s="159" t="str">
        <f t="shared" si="118"/>
        <v>1+0.0182914406697281j</v>
      </c>
      <c r="T210" s="159" t="str">
        <f t="shared" si="119"/>
        <v>-159.459347912959+1.39933045234295j</v>
      </c>
      <c r="U210" s="159" t="str">
        <f t="shared" si="120"/>
        <v>-0.00626970137890111-0.000169728680635859j</v>
      </c>
      <c r="V210" s="159" t="str">
        <f t="shared" si="121"/>
        <v>-0.200430014110725-0.00542589188845903j</v>
      </c>
      <c r="X210" s="159" t="str">
        <f t="shared" si="122"/>
        <v>-0.105010751095245-0.179088229220905j</v>
      </c>
      <c r="Y210" s="159">
        <f t="shared" si="123"/>
        <v>-13.655242242676227</v>
      </c>
      <c r="Z210" s="159">
        <f t="shared" si="124"/>
        <v>59.614208376402729</v>
      </c>
      <c r="AB210" s="159" t="str">
        <f t="shared" si="125"/>
        <v>-0.0882757164108016-0.00238973437060517j</v>
      </c>
      <c r="AC210" s="159">
        <f t="shared" si="126"/>
        <v>-21.079993410116522</v>
      </c>
      <c r="AD210" s="159">
        <f t="shared" si="127"/>
        <v>1.5506898844035106</v>
      </c>
      <c r="AF210" s="159" t="str">
        <f t="shared" si="128"/>
        <v>-0.0943222733820885-0.0215441060440554j</v>
      </c>
      <c r="AG210" s="159">
        <f t="shared" si="129"/>
        <v>-20.286851889438093</v>
      </c>
      <c r="AH210" s="159">
        <f t="shared" si="130"/>
        <v>12.866185661056193</v>
      </c>
      <c r="AJ210" s="159" t="str">
        <f t="shared" si="131"/>
        <v>13931.8279881522-44723.227489108j</v>
      </c>
      <c r="AK210" s="159" t="str">
        <f t="shared" si="132"/>
        <v>30000-0.000470351331507294j</v>
      </c>
      <c r="AL210" s="159" t="str">
        <f t="shared" si="146"/>
        <v>10000-42521.406149543j</v>
      </c>
      <c r="AM210" s="159" t="str">
        <f t="shared" si="147"/>
        <v>938.452532029939-13348.5061836501j</v>
      </c>
      <c r="AN210" s="159" t="str">
        <f t="shared" si="148"/>
        <v>10938.4525320299-13348.5061836501j</v>
      </c>
      <c r="AO210" s="159" t="str">
        <f t="shared" si="149"/>
        <v>10128.4600502593-6479.3698313636j</v>
      </c>
      <c r="AP210" s="159" t="str">
        <f t="shared" si="150"/>
        <v>0.335342740618943+0.341383685808479j</v>
      </c>
      <c r="AQ210" s="159" t="str">
        <f t="shared" si="133"/>
        <v>1+52.2089977973095j</v>
      </c>
      <c r="AR210" s="159">
        <f t="shared" si="134"/>
        <v>-4.0917619384376496E-4</v>
      </c>
      <c r="AS210" s="159" t="str">
        <f t="shared" si="135"/>
        <v>0.00142411408316007j</v>
      </c>
      <c r="AT210" s="159" t="str">
        <f t="shared" si="136"/>
        <v>-0.000409176193843765+0.00142411408316007j</v>
      </c>
      <c r="AU210" s="159" t="str">
        <f t="shared" si="137"/>
        <v>5.05180012630863-1.55681091420904j</v>
      </c>
      <c r="AW210" s="159" t="str">
        <f t="shared" si="151"/>
        <v>2.36342311036649+0.345608304349916j</v>
      </c>
      <c r="AX210" s="159">
        <f t="shared" si="138"/>
        <v>7.5627193153459764</v>
      </c>
      <c r="AY210" s="159">
        <f t="shared" si="139"/>
        <v>-171.6804849295321</v>
      </c>
      <c r="AZ210" s="159" t="str">
        <f t="shared" si="140"/>
        <v>-0.207806956205775-0.0361567741031366j</v>
      </c>
      <c r="BA210" s="159">
        <f t="shared" si="141"/>
        <v>-13.51727409477056</v>
      </c>
      <c r="BB210" s="159">
        <f t="shared" si="142"/>
        <v>9.8702049548714399</v>
      </c>
      <c r="BD210" s="159" t="str">
        <f t="shared" si="143"/>
        <v>-0.215477618774913-0.0835163990827196j</v>
      </c>
      <c r="BE210" s="159">
        <f t="shared" si="144"/>
        <v>-12.724132574092128</v>
      </c>
      <c r="BF210" s="159">
        <f t="shared" si="145"/>
        <v>21.185700731524065</v>
      </c>
      <c r="BH210" s="159">
        <f t="shared" si="152"/>
        <v>13.724132574092128</v>
      </c>
      <c r="BI210" s="169">
        <f t="shared" si="153"/>
        <v>-21.185700731524065</v>
      </c>
      <c r="BN210" s="165"/>
      <c r="BO210" s="165"/>
      <c r="BP210" s="165"/>
    </row>
    <row r="211" spans="1:68" s="159" customFormat="1">
      <c r="A211" s="159">
        <v>147</v>
      </c>
      <c r="B211" s="159">
        <f t="shared" si="103"/>
        <v>87096.358995608098</v>
      </c>
      <c r="C211" s="159" t="str">
        <f t="shared" si="104"/>
        <v>547242.563150043j</v>
      </c>
      <c r="D211" s="159">
        <f t="shared" si="105"/>
        <v>0.87862758799533058</v>
      </c>
      <c r="E211" s="159" t="str">
        <f t="shared" si="106"/>
        <v>-0.547242563150043j</v>
      </c>
      <c r="F211" s="159" t="str">
        <f t="shared" si="107"/>
        <v>0.878627587995331-0.547242563150043j</v>
      </c>
      <c r="G211" s="159">
        <f t="shared" si="108"/>
        <v>0.29976311609532841</v>
      </c>
      <c r="H211" s="159">
        <f t="shared" si="109"/>
        <v>-31.916215021028396</v>
      </c>
      <c r="J211" s="159">
        <f t="shared" si="110"/>
        <v>6.3936063936063938</v>
      </c>
      <c r="K211" s="159" t="str">
        <f t="shared" si="111"/>
        <v>1+134.093581461471j</v>
      </c>
      <c r="L211" s="159">
        <f t="shared" si="112"/>
        <v>-174.9401763539127</v>
      </c>
      <c r="M211" s="159" t="str">
        <f t="shared" si="113"/>
        <v>1.46527886480528j</v>
      </c>
      <c r="N211" s="159" t="str">
        <f t="shared" si="114"/>
        <v>-174.940176353913+1.46527886480528j</v>
      </c>
      <c r="O211" s="159" t="str">
        <f t="shared" si="115"/>
        <v>0.000703919656076708-0.766505172325883j</v>
      </c>
      <c r="P211" s="159" t="str">
        <f t="shared" si="116"/>
        <v>0.00450058521367725-4.90073237051514j</v>
      </c>
      <c r="R211" s="159">
        <f t="shared" si="117"/>
        <v>31.968031968031973</v>
      </c>
      <c r="S211" s="159" t="str">
        <f t="shared" si="118"/>
        <v>1+0.0191534897102515j</v>
      </c>
      <c r="T211" s="159" t="str">
        <f t="shared" si="119"/>
        <v>-174.940176353913+1.46527886480528j</v>
      </c>
      <c r="U211" s="159" t="str">
        <f t="shared" si="120"/>
        <v>-0.00571492183283691-0.000157353470538593j</v>
      </c>
      <c r="V211" s="159" t="str">
        <f t="shared" si="121"/>
        <v>-0.182694803846934-0.00503028077645852j</v>
      </c>
      <c r="X211" s="159" t="str">
        <f t="shared" si="122"/>
        <v>-0.104970806202413-0.168881726526091j</v>
      </c>
      <c r="Y211" s="159">
        <f t="shared" si="123"/>
        <v>-14.029643487154207</v>
      </c>
      <c r="Z211" s="159">
        <f t="shared" si="124"/>
        <v>58.136402515718359</v>
      </c>
      <c r="AB211" s="159" t="str">
        <f t="shared" si="125"/>
        <v>-0.0804645689702418-0.00221549472647369j</v>
      </c>
      <c r="AC211" s="159">
        <f t="shared" si="126"/>
        <v>-21.884615034466719</v>
      </c>
      <c r="AD211" s="159">
        <f t="shared" si="127"/>
        <v>1.5771716147655468</v>
      </c>
      <c r="AF211" s="159" t="str">
        <f t="shared" si="128"/>
        <v>-0.086359846838767-0.0187704433325253j</v>
      </c>
      <c r="AG211" s="159">
        <f t="shared" si="129"/>
        <v>-21.07329354420887</v>
      </c>
      <c r="AH211" s="159">
        <f t="shared" si="130"/>
        <v>12.262596690574611</v>
      </c>
      <c r="AJ211" s="159" t="str">
        <f t="shared" si="131"/>
        <v>12805.6467093609-43045.3803453911j</v>
      </c>
      <c r="AK211" s="159" t="str">
        <f t="shared" si="132"/>
        <v>30000-0.000492518306835039j</v>
      </c>
      <c r="AL211" s="159" t="str">
        <f t="shared" si="146"/>
        <v>10000-40607.6276200201j</v>
      </c>
      <c r="AM211" s="159" t="str">
        <f t="shared" si="147"/>
        <v>936.137585818714-12761.3550885345j</v>
      </c>
      <c r="AN211" s="159" t="str">
        <f t="shared" si="148"/>
        <v>10936.1375858187-12761.3550885345j</v>
      </c>
      <c r="AO211" s="159" t="str">
        <f t="shared" si="149"/>
        <v>9961.85558351646-6246.65373370542j</v>
      </c>
      <c r="AP211" s="159" t="str">
        <f t="shared" si="150"/>
        <v>0.348464016934829+0.350415587144229j</v>
      </c>
      <c r="AQ211" s="159" t="str">
        <f t="shared" si="133"/>
        <v>1+54.6695320586893j</v>
      </c>
      <c r="AR211" s="159">
        <f t="shared" si="134"/>
        <v>-4.4866242275015894E-4</v>
      </c>
      <c r="AS211" s="159" t="str">
        <f t="shared" si="135"/>
        <v>0.00149123051215824j</v>
      </c>
      <c r="AT211" s="159" t="str">
        <f t="shared" si="136"/>
        <v>-0.000448662422750159+0.00149123051215824j</v>
      </c>
      <c r="AU211" s="159" t="str">
        <f t="shared" si="137"/>
        <v>5.01488607909444-1.60940305237524j</v>
      </c>
      <c r="AW211" s="159" t="str">
        <f t="shared" si="151"/>
        <v>2.42946364356272+0.273713376224837j</v>
      </c>
      <c r="AX211" s="159">
        <f t="shared" si="138"/>
        <v>7.7649870383708191</v>
      </c>
      <c r="AY211" s="159">
        <f t="shared" si="139"/>
        <v>-173.57192774878669</v>
      </c>
      <c r="AZ211" s="159" t="str">
        <f t="shared" si="140"/>
        <v>-0.194879334366556-0.0274066927297939j</v>
      </c>
      <c r="BA211" s="159">
        <f t="shared" si="141"/>
        <v>-14.119627996095904</v>
      </c>
      <c r="BB211" s="159">
        <f t="shared" si="142"/>
        <v>8.005243865978855</v>
      </c>
      <c r="BD211" s="159" t="str">
        <f t="shared" si="143"/>
        <v>-0.204670386740647-0.0692399548984233j</v>
      </c>
      <c r="BE211" s="159">
        <f t="shared" si="144"/>
        <v>-13.308306505838045</v>
      </c>
      <c r="BF211" s="159">
        <f t="shared" si="145"/>
        <v>18.690668941787948</v>
      </c>
      <c r="BH211" s="159">
        <f t="shared" si="152"/>
        <v>14.308306505838045</v>
      </c>
      <c r="BI211" s="169">
        <f t="shared" si="153"/>
        <v>-18.690668941787948</v>
      </c>
      <c r="BN211" s="165"/>
      <c r="BO211" s="165"/>
      <c r="BP211" s="165"/>
    </row>
    <row r="212" spans="1:68" s="159" customFormat="1">
      <c r="A212" s="159">
        <v>148</v>
      </c>
      <c r="B212" s="159">
        <f t="shared" si="103"/>
        <v>91201.083935590985</v>
      </c>
      <c r="C212" s="159" t="str">
        <f t="shared" si="104"/>
        <v>573033.310582957j</v>
      </c>
      <c r="D212" s="159">
        <f t="shared" si="105"/>
        <v>0.86691779662357271</v>
      </c>
      <c r="E212" s="159" t="str">
        <f t="shared" si="106"/>
        <v>-0.573033310582957j</v>
      </c>
      <c r="F212" s="159" t="str">
        <f t="shared" si="107"/>
        <v>0.866917796623573-0.573033310582957j</v>
      </c>
      <c r="G212" s="159">
        <f t="shared" si="108"/>
        <v>0.33389027083441553</v>
      </c>
      <c r="H212" s="159">
        <f t="shared" si="109"/>
        <v>-33.464733280732204</v>
      </c>
      <c r="J212" s="159">
        <f t="shared" si="110"/>
        <v>6.3936063936063938</v>
      </c>
      <c r="K212" s="159" t="str">
        <f t="shared" si="111"/>
        <v>1+140.413217258695j</v>
      </c>
      <c r="L212" s="159">
        <f t="shared" si="112"/>
        <v>-191.91456719765199</v>
      </c>
      <c r="M212" s="159" t="str">
        <f t="shared" si="113"/>
        <v>1.53433533019322j</v>
      </c>
      <c r="N212" s="159" t="str">
        <f t="shared" si="114"/>
        <v>-191.914567197652+1.53433533019322j</v>
      </c>
      <c r="O212" s="159" t="str">
        <f t="shared" si="115"/>
        <v>0.000638721749360997-0.731639287708363j</v>
      </c>
      <c r="P212" s="159" t="str">
        <f t="shared" si="116"/>
        <v>0.00408373546044993-4.67781362770582j</v>
      </c>
      <c r="R212" s="159">
        <f t="shared" si="117"/>
        <v>31.968031968031973</v>
      </c>
      <c r="S212" s="159" t="str">
        <f t="shared" si="118"/>
        <v>1+0.0200561658704035j</v>
      </c>
      <c r="T212" s="159" t="str">
        <f t="shared" si="119"/>
        <v>-191.914567197652+1.53433533019322j</v>
      </c>
      <c r="U212" s="159" t="str">
        <f t="shared" si="120"/>
        <v>-0.00520948338588796-0.000146154930764261j</v>
      </c>
      <c r="V212" s="159" t="str">
        <f t="shared" si="121"/>
        <v>-0.166536931416998-0.0046722854989574j</v>
      </c>
      <c r="X212" s="159" t="str">
        <f t="shared" si="122"/>
        <v>-0.104934263911914-0.159052270409216j</v>
      </c>
      <c r="Y212" s="159">
        <f t="shared" si="123"/>
        <v>-14.39987811582877</v>
      </c>
      <c r="Z212" s="159">
        <f t="shared" si="124"/>
        <v>56.585285973071493</v>
      </c>
      <c r="AB212" s="159" t="str">
        <f t="shared" si="125"/>
        <v>-0.0733481309918511-0.00205782228538093j</v>
      </c>
      <c r="AC212" s="159">
        <f t="shared" si="126"/>
        <v>-22.688801913666282</v>
      </c>
      <c r="AD212" s="159">
        <f t="shared" si="127"/>
        <v>1.6070431540519223</v>
      </c>
      <c r="AF212" s="159" t="str">
        <f t="shared" si="128"/>
        <v>-0.0790427303893628-0.0163448866639588j</v>
      </c>
      <c r="AG212" s="159">
        <f t="shared" si="129"/>
        <v>-21.860916762846074</v>
      </c>
      <c r="AH212" s="159">
        <f t="shared" si="130"/>
        <v>11.683264748553682</v>
      </c>
      <c r="AJ212" s="159" t="str">
        <f t="shared" si="131"/>
        <v>11763.0416356957-41404.2257396388j</v>
      </c>
      <c r="AK212" s="159" t="str">
        <f t="shared" si="132"/>
        <v>30000-0.000515729979524661j</v>
      </c>
      <c r="AL212" s="159" t="str">
        <f t="shared" si="146"/>
        <v>10000-38779.9833130383j</v>
      </c>
      <c r="AM212" s="159" t="str">
        <f t="shared" si="147"/>
        <v>933.612389193362-12201.1989241714j</v>
      </c>
      <c r="AN212" s="159" t="str">
        <f t="shared" si="148"/>
        <v>10933.6123891934-12201.1989241714j</v>
      </c>
      <c r="AO212" s="159" t="str">
        <f t="shared" si="149"/>
        <v>9807.25282481914-6018.90992048928j</v>
      </c>
      <c r="AP212" s="159" t="str">
        <f t="shared" si="150"/>
        <v>0.362268377066357+0.359155864755559j</v>
      </c>
      <c r="AQ212" s="159" t="str">
        <f t="shared" si="133"/>
        <v>1+57.2460277272374j</v>
      </c>
      <c r="AR212" s="159">
        <f t="shared" si="134"/>
        <v>-4.9195821179393961E-4</v>
      </c>
      <c r="AS212" s="159" t="str">
        <f t="shared" si="135"/>
        <v>0.00156151004100545j</v>
      </c>
      <c r="AT212" s="159" t="str">
        <f t="shared" si="136"/>
        <v>-0.00049195821179394+0.00156151004100545j</v>
      </c>
      <c r="AU212" s="159" t="str">
        <f t="shared" si="137"/>
        <v>4.97502585290725-1.66345700892987j</v>
      </c>
      <c r="AW212" s="159" t="str">
        <f t="shared" si="151"/>
        <v>2.49204424903366+0.192579410825768j</v>
      </c>
      <c r="AX212" s="159">
        <f t="shared" si="138"/>
        <v>7.95697322905652</v>
      </c>
      <c r="AY212" s="159">
        <f t="shared" si="139"/>
        <v>-175.58109715449007</v>
      </c>
      <c r="AZ212" s="159" t="str">
        <f t="shared" si="140"/>
        <v>-0.182390493812307-0.0192535240433988j</v>
      </c>
      <c r="BA212" s="159">
        <f t="shared" si="141"/>
        <v>-14.731828684609777</v>
      </c>
      <c r="BB212" s="159">
        <f t="shared" si="142"/>
        <v>6.025945999561884</v>
      </c>
      <c r="BD212" s="159" t="str">
        <f t="shared" si="143"/>
        <v>-0.19383029305097-0.0559541832604689j</v>
      </c>
      <c r="BE212" s="159">
        <f t="shared" si="144"/>
        <v>-13.903943533789578</v>
      </c>
      <c r="BF212" s="159">
        <f t="shared" si="145"/>
        <v>16.102167594063644</v>
      </c>
      <c r="BH212" s="159">
        <f t="shared" si="152"/>
        <v>14.903943533789578</v>
      </c>
      <c r="BI212" s="169">
        <f t="shared" si="153"/>
        <v>-16.102167594063644</v>
      </c>
      <c r="BN212" s="165"/>
      <c r="BO212" s="165"/>
      <c r="BP212" s="165"/>
    </row>
    <row r="213" spans="1:68" s="159" customFormat="1">
      <c r="A213" s="159">
        <v>149</v>
      </c>
      <c r="B213" s="159">
        <f t="shared" si="103"/>
        <v>95499.258602143673</v>
      </c>
      <c r="C213" s="159" t="str">
        <f t="shared" si="104"/>
        <v>600039.538495533j</v>
      </c>
      <c r="D213" s="159">
        <f t="shared" si="105"/>
        <v>0.85407826570305423</v>
      </c>
      <c r="E213" s="159" t="str">
        <f t="shared" si="106"/>
        <v>-0.600039538495533j</v>
      </c>
      <c r="F213" s="159" t="str">
        <f t="shared" si="107"/>
        <v>0.854078265703054-0.600039538495533j</v>
      </c>
      <c r="G213" s="159">
        <f t="shared" si="108"/>
        <v>0.3722609122601172</v>
      </c>
      <c r="H213" s="159">
        <f t="shared" si="109"/>
        <v>-35.090267111039495</v>
      </c>
      <c r="J213" s="159">
        <f t="shared" si="110"/>
        <v>6.3936063936063938</v>
      </c>
      <c r="K213" s="159" t="str">
        <f t="shared" si="111"/>
        <v>1+147.030688315253j</v>
      </c>
      <c r="L213" s="159">
        <f t="shared" si="112"/>
        <v>-210.5266166506251</v>
      </c>
      <c r="M213" s="159" t="str">
        <f t="shared" si="113"/>
        <v>1.60664632652843j</v>
      </c>
      <c r="N213" s="159" t="str">
        <f t="shared" si="114"/>
        <v>-210.526616650625+1.60664632652843j</v>
      </c>
      <c r="O213" s="159" t="str">
        <f t="shared" si="115"/>
        <v>0.000579814023986331-0.698390346543123j</v>
      </c>
      <c r="P213" s="159" t="str">
        <f t="shared" si="116"/>
        <v>0.00370710265086166-4.4652329848911j</v>
      </c>
      <c r="R213" s="159">
        <f t="shared" si="117"/>
        <v>31.968031968031973</v>
      </c>
      <c r="S213" s="159" t="str">
        <f t="shared" si="118"/>
        <v>1+0.0210013838473437j</v>
      </c>
      <c r="T213" s="159" t="str">
        <f t="shared" si="119"/>
        <v>-210.526616650625+1.60664632652843j</v>
      </c>
      <c r="U213" s="159" t="str">
        <f t="shared" si="120"/>
        <v>-0.00474895533226992-0.000135998364208252j</v>
      </c>
      <c r="V213" s="159" t="str">
        <f t="shared" si="121"/>
        <v>-0.151814755876761-0.00434760005460946j</v>
      </c>
      <c r="X213" s="159" t="str">
        <f t="shared" si="122"/>
        <v>-0.104900844021862-0.149576557505179j</v>
      </c>
      <c r="Y213" s="159">
        <f t="shared" si="123"/>
        <v>-14.765483601473443</v>
      </c>
      <c r="Z213" s="159">
        <f t="shared" si="124"/>
        <v>54.957300683974807</v>
      </c>
      <c r="AB213" s="159" t="str">
        <f t="shared" si="125"/>
        <v>-0.0668640193247131-0.00191482054816536j</v>
      </c>
      <c r="AC213" s="159">
        <f t="shared" si="126"/>
        <v>-23.492590188307979</v>
      </c>
      <c r="AD213" s="159">
        <f t="shared" si="127"/>
        <v>1.6403614398471404</v>
      </c>
      <c r="AF213" s="159" t="str">
        <f t="shared" si="128"/>
        <v>-0.0723230650591967-0.0142248549369139j</v>
      </c>
      <c r="AG213" s="159">
        <f t="shared" si="129"/>
        <v>-22.649625142037184</v>
      </c>
      <c r="AH213" s="159">
        <f t="shared" si="130"/>
        <v>11.127180869292118</v>
      </c>
      <c r="AJ213" s="159" t="str">
        <f t="shared" si="131"/>
        <v>10798.9876337085-39802.2916224191j</v>
      </c>
      <c r="AK213" s="159" t="str">
        <f t="shared" si="132"/>
        <v>30000-0.00054003558464598j</v>
      </c>
      <c r="AL213" s="159" t="str">
        <f t="shared" si="146"/>
        <v>10000-37034.5965499866j</v>
      </c>
      <c r="AM213" s="159" t="str">
        <f t="shared" si="147"/>
        <v>930.859178149239-11666.8393018906j</v>
      </c>
      <c r="AN213" s="159" t="str">
        <f t="shared" si="148"/>
        <v>10930.8591781492-11666.8393018906j</v>
      </c>
      <c r="AO213" s="159" t="str">
        <f t="shared" si="149"/>
        <v>9663.93452216692-5796.54601468632j</v>
      </c>
      <c r="AP213" s="159" t="str">
        <f t="shared" si="150"/>
        <v>0.376747488523966+0.367543753886604j</v>
      </c>
      <c r="AQ213" s="159" t="str">
        <f t="shared" si="133"/>
        <v>1+59.9439498957038j</v>
      </c>
      <c r="AR213" s="159">
        <f t="shared" si="134"/>
        <v>-5.3943110046526116E-4</v>
      </c>
      <c r="AS213" s="159" t="str">
        <f t="shared" si="135"/>
        <v>0.00163510174200494j</v>
      </c>
      <c r="AT213" s="159" t="str">
        <f t="shared" si="136"/>
        <v>-0.000539431100465261+0.00163510174200494j</v>
      </c>
      <c r="AU213" s="159" t="str">
        <f t="shared" si="137"/>
        <v>4.93204207774048-1.71885137990883j</v>
      </c>
      <c r="AW213" s="159" t="str">
        <f t="shared" si="151"/>
        <v>2.54996748082088+0.102097694017281j</v>
      </c>
      <c r="AX213" s="159">
        <f t="shared" si="138"/>
        <v>8.1376494718974577</v>
      </c>
      <c r="AY213" s="159">
        <f t="shared" si="139"/>
        <v>-177.70716917849811</v>
      </c>
      <c r="AZ213" s="159" t="str">
        <f t="shared" si="140"/>
        <v>-0.170305576152573-0.0117093923152094j</v>
      </c>
      <c r="BA213" s="159">
        <f t="shared" si="141"/>
        <v>-15.354940716410503</v>
      </c>
      <c r="BB213" s="159">
        <f t="shared" si="142"/>
        <v>3.9331922613490349</v>
      </c>
      <c r="BD213" s="159" t="str">
        <f t="shared" si="143"/>
        <v>-0.182969139127456-0.0436569356753307j</v>
      </c>
      <c r="BE213" s="159">
        <f t="shared" si="144"/>
        <v>-14.511975670139689</v>
      </c>
      <c r="BF213" s="159">
        <f t="shared" si="145"/>
        <v>13.420011690794013</v>
      </c>
      <c r="BH213" s="159">
        <f t="shared" si="152"/>
        <v>15.511975670139689</v>
      </c>
      <c r="BI213" s="169">
        <f t="shared" si="153"/>
        <v>-13.420011690794013</v>
      </c>
      <c r="BN213" s="165"/>
      <c r="BO213" s="165"/>
      <c r="BP213" s="165"/>
    </row>
    <row r="214" spans="1:68" s="159" customFormat="1">
      <c r="A214" s="159">
        <v>150</v>
      </c>
      <c r="B214" s="159">
        <f t="shared" si="103"/>
        <v>100000</v>
      </c>
      <c r="C214" s="159" t="str">
        <f t="shared" si="104"/>
        <v>628318.530717959j</v>
      </c>
      <c r="D214" s="159">
        <f t="shared" si="105"/>
        <v>0.83999999999999975</v>
      </c>
      <c r="E214" s="159" t="str">
        <f t="shared" si="106"/>
        <v>-0.628318530717959j</v>
      </c>
      <c r="F214" s="159" t="str">
        <f t="shared" si="107"/>
        <v>0.84-0.628318530717959j</v>
      </c>
      <c r="G214" s="159">
        <f t="shared" si="108"/>
        <v>0.41544336437411389</v>
      </c>
      <c r="H214" s="159">
        <f t="shared" si="109"/>
        <v>-36.796424352321822</v>
      </c>
      <c r="J214" s="159">
        <f t="shared" si="110"/>
        <v>6.3936063936063938</v>
      </c>
      <c r="K214" s="159" t="str">
        <f t="shared" si="111"/>
        <v>1+153.960031174475j</v>
      </c>
      <c r="L214" s="159">
        <f t="shared" si="112"/>
        <v>-230.93432306134846</v>
      </c>
      <c r="M214" s="159" t="str">
        <f t="shared" si="113"/>
        <v>1.68236523512903j</v>
      </c>
      <c r="N214" s="159" t="str">
        <f t="shared" si="114"/>
        <v>-230.934323061348+1.68236523512903j</v>
      </c>
      <c r="O214" s="159" t="str">
        <f t="shared" si="115"/>
        <v>0.000526548702788578-0.666679354053158j</v>
      </c>
      <c r="P214" s="159" t="str">
        <f t="shared" si="116"/>
        <v>0.00336654515269421-4.26248538055965j</v>
      </c>
      <c r="R214" s="159">
        <f t="shared" si="117"/>
        <v>31.968031968031973</v>
      </c>
      <c r="S214" s="159" t="str">
        <f t="shared" si="118"/>
        <v>1+0.0219911485751286j</v>
      </c>
      <c r="T214" s="159" t="str">
        <f t="shared" si="119"/>
        <v>-230.934323061348+1.68236523512903j</v>
      </c>
      <c r="U214" s="159" t="str">
        <f t="shared" si="120"/>
        <v>-0.00432931198769633-0.000126766052647269j</v>
      </c>
      <c r="V214" s="159" t="str">
        <f t="shared" si="121"/>
        <v>-0.13839958402226-0.00405246122348912j</v>
      </c>
      <c r="X214" s="159" t="str">
        <f t="shared" si="122"/>
        <v>-0.104870287676576-0.140432356499137j</v>
      </c>
      <c r="Y214" s="159">
        <f t="shared" si="123"/>
        <v>-15.125925869090356</v>
      </c>
      <c r="Z214" s="159">
        <f t="shared" si="124"/>
        <v>53.248828304628532</v>
      </c>
      <c r="AB214" s="159" t="str">
        <f t="shared" si="125"/>
        <v>-0.0609555534121383-0.00178483207376751j</v>
      </c>
      <c r="AC214" s="159">
        <f t="shared" si="126"/>
        <v>-24.29601251454659</v>
      </c>
      <c r="AD214" s="159">
        <f t="shared" si="127"/>
        <v>1.6771914687894025</v>
      </c>
      <c r="AF214" s="159" t="str">
        <f t="shared" si="128"/>
        <v>-0.0661557911860864-0.0123727830431941j</v>
      </c>
      <c r="AG214" s="159">
        <f t="shared" si="129"/>
        <v>-23.439330081340746</v>
      </c>
      <c r="AH214" s="159">
        <f t="shared" si="130"/>
        <v>10.593358637657019</v>
      </c>
      <c r="AJ214" s="159" t="str">
        <f t="shared" si="131"/>
        <v>9908.5719615133-38241.6041193601j</v>
      </c>
      <c r="AK214" s="159" t="str">
        <f t="shared" si="132"/>
        <v>30000-0.000565486677646164j</v>
      </c>
      <c r="AL214" s="159" t="str">
        <f t="shared" si="146"/>
        <v>10000-35367.7651315322j</v>
      </c>
      <c r="AM214" s="159" t="str">
        <f t="shared" si="147"/>
        <v>927.858946029806-11157.1312038254j</v>
      </c>
      <c r="AN214" s="159" t="str">
        <f t="shared" si="148"/>
        <v>10927.8589460298-11157.1312038254j</v>
      </c>
      <c r="AO214" s="159" t="str">
        <f t="shared" si="149"/>
        <v>9531.19450192437-5579.89484909425j</v>
      </c>
      <c r="AP214" s="159" t="str">
        <f t="shared" si="150"/>
        <v>0.391886196760065+0.375517231408636j</v>
      </c>
      <c r="AQ214" s="159" t="str">
        <f t="shared" si="133"/>
        <v>1+62.7690212187241j</v>
      </c>
      <c r="AR214" s="159">
        <f t="shared" si="134"/>
        <v>-5.9148408780129724E-4</v>
      </c>
      <c r="AS214" s="159" t="str">
        <f t="shared" si="135"/>
        <v>0.00171216171302113j</v>
      </c>
      <c r="AT214" s="159" t="str">
        <f t="shared" si="136"/>
        <v>-0.000591484087801297+0.00171216171302113j</v>
      </c>
      <c r="AU214" s="159" t="str">
        <f t="shared" si="137"/>
        <v>4.88575707101425-1.77544418920789j</v>
      </c>
      <c r="AW214" s="159" t="str">
        <f t="shared" si="151"/>
        <v>2.60194959613979+0.00231914898815964j</v>
      </c>
      <c r="AX214" s="159">
        <f t="shared" si="138"/>
        <v>8.3059810369789222</v>
      </c>
      <c r="AY214" s="159">
        <f t="shared" si="139"/>
        <v>-179.94893159571839</v>
      </c>
      <c r="AZ214" s="159" t="str">
        <f t="shared" si="140"/>
        <v>-0.158599138291693-0.00478540810353517j</v>
      </c>
      <c r="BA214" s="159">
        <f t="shared" si="141"/>
        <v>-15.990031477567655</v>
      </c>
      <c r="BB214" s="159">
        <f t="shared" si="142"/>
        <v>1.7282598730709822</v>
      </c>
      <c r="BD214" s="159" t="str">
        <f t="shared" si="143"/>
        <v>-0.172105339831671-0.0323467829785542j</v>
      </c>
      <c r="BE214" s="159">
        <f t="shared" si="144"/>
        <v>-15.133349044361799</v>
      </c>
      <c r="BF214" s="159">
        <f t="shared" si="145"/>
        <v>10.64442704193857</v>
      </c>
      <c r="BH214" s="159">
        <f t="shared" si="152"/>
        <v>16.1333490443618</v>
      </c>
      <c r="BI214" s="169">
        <f t="shared" si="153"/>
        <v>-10.64442704193857</v>
      </c>
      <c r="BN214" s="165"/>
      <c r="BO214" s="165"/>
      <c r="BP214" s="165"/>
    </row>
    <row r="215" spans="1:68" s="159" customFormat="1">
      <c r="A215" s="159">
        <v>151</v>
      </c>
      <c r="B215" s="159">
        <f t="shared" si="103"/>
        <v>104712.85480509</v>
      </c>
      <c r="C215" s="159" t="str">
        <f t="shared" si="104"/>
        <v>657930.270784171j</v>
      </c>
      <c r="D215" s="159">
        <f t="shared" si="105"/>
        <v>0.82456348861708995</v>
      </c>
      <c r="E215" s="159" t="str">
        <f t="shared" si="106"/>
        <v>-0.657930270784171j</v>
      </c>
      <c r="F215" s="159" t="str">
        <f t="shared" si="107"/>
        <v>0.82456348861709-0.657930270784171j</v>
      </c>
      <c r="G215" s="159">
        <f t="shared" si="108"/>
        <v>0.4640821400202042</v>
      </c>
      <c r="H215" s="159">
        <f t="shared" si="109"/>
        <v>-38.586836216726695</v>
      </c>
      <c r="J215" s="159">
        <f t="shared" si="110"/>
        <v>6.3936063936063938</v>
      </c>
      <c r="K215" s="159" t="str">
        <f t="shared" si="111"/>
        <v>1+161.215943901599j</v>
      </c>
      <c r="L215" s="159">
        <f t="shared" si="112"/>
        <v>-253.31092817399824</v>
      </c>
      <c r="M215" s="159" t="str">
        <f t="shared" si="113"/>
        <v>1.76165266595197j</v>
      </c>
      <c r="N215" s="159" t="str">
        <f t="shared" si="114"/>
        <v>-253.310928173998+1.76165266595197j</v>
      </c>
      <c r="O215" s="159" t="str">
        <f t="shared" si="115"/>
        <v>0.000478351163123913-0.636431686446071j</v>
      </c>
      <c r="P215" s="159" t="str">
        <f t="shared" si="116"/>
        <v>0.00305838905493811-4.0690936995553j</v>
      </c>
      <c r="R215" s="159">
        <f t="shared" si="117"/>
        <v>31.968031968031973</v>
      </c>
      <c r="S215" s="159" t="str">
        <f t="shared" si="118"/>
        <v>1+0.023027559477446j</v>
      </c>
      <c r="T215" s="159" t="str">
        <f t="shared" si="119"/>
        <v>-253.310928173998+1.76165266595197j</v>
      </c>
      <c r="U215" s="159" t="str">
        <f t="shared" si="120"/>
        <v>-0.00394689446205011-0.000118355006808684j</v>
      </c>
      <c r="V215" s="159" t="str">
        <f t="shared" si="121"/>
        <v>-0.126174448337266-0.00378357664123665j</v>
      </c>
      <c r="X215" s="159" t="str">
        <f t="shared" si="122"/>
        <v>-0.104842356064516-0.131598418401553j</v>
      </c>
      <c r="Y215" s="159">
        <f t="shared" si="123"/>
        <v>-15.480591587897264</v>
      </c>
      <c r="Z215" s="159">
        <f t="shared" si="124"/>
        <v>51.456228102971608</v>
      </c>
      <c r="AB215" s="159" t="str">
        <f t="shared" si="125"/>
        <v>-0.0555712170611169-0.00166640680080892j</v>
      </c>
      <c r="AC215" s="159">
        <f t="shared" si="126"/>
        <v>-25.09909835851747</v>
      </c>
      <c r="AD215" s="159">
        <f t="shared" si="127"/>
        <v>1.7176063214506598</v>
      </c>
      <c r="AF215" s="159" t="str">
        <f t="shared" si="128"/>
        <v>-0.0604986190101888-0.0107555685227683j</v>
      </c>
      <c r="AG215" s="159">
        <f t="shared" si="129"/>
        <v>-24.229950256177631</v>
      </c>
      <c r="AH215" s="159">
        <f t="shared" si="130"/>
        <v>10.080835280322333</v>
      </c>
      <c r="AJ215" s="159" t="str">
        <f t="shared" si="131"/>
        <v>9087.0265948683-36723.7339653243j</v>
      </c>
      <c r="AK215" s="159" t="str">
        <f t="shared" si="132"/>
        <v>30000-0.000592137243705753j</v>
      </c>
      <c r="AL215" s="159" t="str">
        <f t="shared" si="146"/>
        <v>10000-33775.9534847608j</v>
      </c>
      <c r="AM215" s="159" t="str">
        <f t="shared" si="147"/>
        <v>924.59140744975-10670.9803944297j</v>
      </c>
      <c r="AN215" s="159" t="str">
        <f t="shared" si="148"/>
        <v>10924.5914074498-10670.9803944297j</v>
      </c>
      <c r="AO215" s="159" t="str">
        <f t="shared" si="149"/>
        <v>9408.34291534189-5369.22086159261j</v>
      </c>
      <c r="AP215" s="159" t="str">
        <f t="shared" si="150"/>
        <v>0.407662102416398+0.383013893620262j</v>
      </c>
      <c r="AQ215" s="159" t="str">
        <f t="shared" si="133"/>
        <v>1+65.7272340513387j</v>
      </c>
      <c r="AR215" s="159">
        <f t="shared" si="134"/>
        <v>-6.4855905345937836E-4</v>
      </c>
      <c r="AS215" s="159" t="str">
        <f t="shared" si="135"/>
        <v>0.00179285340858416j</v>
      </c>
      <c r="AT215" s="159" t="str">
        <f t="shared" si="136"/>
        <v>-0.000648559053459378+0.00179285340858416j</v>
      </c>
      <c r="AU215" s="159" t="str">
        <f t="shared" si="137"/>
        <v>4.83599496268624-1.83307140438741j</v>
      </c>
      <c r="AW215" s="159" t="str">
        <f t="shared" si="151"/>
        <v>2.64664126938775-0.106520619090592j</v>
      </c>
      <c r="AX215" s="159">
        <f t="shared" si="138"/>
        <v>8.4609308708098059</v>
      </c>
      <c r="AY215" s="159">
        <f t="shared" si="139"/>
        <v>177.69523367468014</v>
      </c>
      <c r="AZ215" s="159" t="str">
        <f t="shared" si="140"/>
        <v>-0.147254583148136+0.00150909943435855j</v>
      </c>
      <c r="BA215" s="159">
        <f t="shared" si="141"/>
        <v>-16.638167487707634</v>
      </c>
      <c r="BB215" s="159">
        <f t="shared" si="142"/>
        <v>-0.58716000386920086</v>
      </c>
      <c r="BD215" s="159" t="str">
        <f t="shared" si="143"/>
        <v>-0.161263831631049-0.0220217811769952j</v>
      </c>
      <c r="BE215" s="159">
        <f t="shared" si="144"/>
        <v>-15.7690193853678</v>
      </c>
      <c r="BF215" s="159">
        <f t="shared" si="145"/>
        <v>7.7760689550024154</v>
      </c>
      <c r="BH215" s="159">
        <f t="shared" si="152"/>
        <v>16.769019385367798</v>
      </c>
      <c r="BI215" s="169">
        <f t="shared" si="153"/>
        <v>-7.7760689550024154</v>
      </c>
      <c r="BN215" s="165"/>
      <c r="BO215" s="165"/>
      <c r="BP215" s="165"/>
    </row>
    <row r="216" spans="1:68" s="159" customFormat="1">
      <c r="A216" s="159">
        <v>152</v>
      </c>
      <c r="B216" s="159">
        <f t="shared" si="103"/>
        <v>109647.81961431864</v>
      </c>
      <c r="C216" s="159" t="str">
        <f t="shared" si="104"/>
        <v>688937.569164964j</v>
      </c>
      <c r="D216" s="159">
        <f t="shared" si="105"/>
        <v>0.80763769046121359</v>
      </c>
      <c r="E216" s="159" t="str">
        <f t="shared" si="106"/>
        <v>-0.688937569164964j</v>
      </c>
      <c r="F216" s="159" t="str">
        <f t="shared" si="107"/>
        <v>0.807637690461214-0.688937569164964j</v>
      </c>
      <c r="G216" s="159">
        <f t="shared" si="108"/>
        <v>0.51890625254398892</v>
      </c>
      <c r="H216" s="159">
        <f t="shared" si="109"/>
        <v>-40.465107239056465</v>
      </c>
      <c r="J216" s="159">
        <f t="shared" si="110"/>
        <v>6.3936063936063938</v>
      </c>
      <c r="K216" s="159" t="str">
        <f t="shared" si="111"/>
        <v>1+168.813817260337j</v>
      </c>
      <c r="L216" s="159">
        <f t="shared" si="112"/>
        <v>-277.84638778372454</v>
      </c>
      <c r="M216" s="159" t="str">
        <f t="shared" si="113"/>
        <v>1.84467679826828j</v>
      </c>
      <c r="N216" s="159" t="str">
        <f t="shared" si="114"/>
        <v>-277.846387783725+1.84467679826828j</v>
      </c>
      <c r="O216" s="159" t="str">
        <f t="shared" si="115"/>
        <v>0.000434710710896904-0.607576786245565j</v>
      </c>
      <c r="P216" s="159" t="str">
        <f t="shared" si="116"/>
        <v>0.00277936918055963-3.88460682514647j</v>
      </c>
      <c r="R216" s="159">
        <f t="shared" si="117"/>
        <v>31.968031968031973</v>
      </c>
      <c r="S216" s="159" t="str">
        <f t="shared" si="118"/>
        <v>1+0.0241128149207737j</v>
      </c>
      <c r="T216" s="159" t="str">
        <f t="shared" si="119"/>
        <v>-277.846387783725+1.84467679826828j</v>
      </c>
      <c r="U216" s="159" t="str">
        <f t="shared" si="120"/>
        <v>-0.00359837624063823-0.000110675025608953j</v>
      </c>
      <c r="V216" s="159" t="str">
        <f t="shared" si="121"/>
        <v>-0.11503300669373-0.00353806275672977j</v>
      </c>
      <c r="X216" s="159" t="str">
        <f t="shared" si="122"/>
        <v>-0.104816829129054-0.123054394620032j</v>
      </c>
      <c r="Y216" s="159">
        <f t="shared" si="123"/>
        <v>-15.82878013859089</v>
      </c>
      <c r="Z216" s="159">
        <f t="shared" si="124"/>
        <v>49.575886895935724</v>
      </c>
      <c r="AB216" s="159" t="str">
        <f t="shared" si="125"/>
        <v>-0.0506641738356001-0.00155827472218884j</v>
      </c>
      <c r="AC216" s="159">
        <f t="shared" si="126"/>
        <v>-25.901874260767691</v>
      </c>
      <c r="AD216" s="159">
        <f t="shared" si="127"/>
        <v>1.7616872174448019</v>
      </c>
      <c r="AF216" s="159" t="str">
        <f t="shared" si="128"/>
        <v>-0.0553119700672384-0.00934407167855492j</v>
      </c>
      <c r="AG216" s="159">
        <f t="shared" si="129"/>
        <v>-25.021411117368647</v>
      </c>
      <c r="AH216" s="159">
        <f t="shared" si="130"/>
        <v>9.5886724560679681</v>
      </c>
      <c r="AJ216" s="159" t="str">
        <f t="shared" si="131"/>
        <v>8329.75333149288-35249.8419733566j</v>
      </c>
      <c r="AK216" s="159" t="str">
        <f t="shared" si="132"/>
        <v>30000-0.000620043812248467j</v>
      </c>
      <c r="AL216" s="159" t="str">
        <f t="shared" si="146"/>
        <v>10000-32255.7851637514j</v>
      </c>
      <c r="AM216" s="159" t="str">
        <f t="shared" si="147"/>
        <v>921.034972367857-10207.3409251232j</v>
      </c>
      <c r="AN216" s="159" t="str">
        <f t="shared" si="148"/>
        <v>10921.0349723679-10207.3409251232j</v>
      </c>
      <c r="AO216" s="159" t="str">
        <f t="shared" si="149"/>
        <v>9294.71040402619-5164.72643007724j</v>
      </c>
      <c r="AP216" s="159" t="str">
        <f t="shared" si="150"/>
        <v>0.424045266831982+0.389971940570217j</v>
      </c>
      <c r="AQ216" s="159" t="str">
        <f t="shared" si="133"/>
        <v>1+68.8248631595799j</v>
      </c>
      <c r="AR216" s="159">
        <f t="shared" si="134"/>
        <v>-7.1114050884908469E-4</v>
      </c>
      <c r="AS216" s="159" t="str">
        <f t="shared" si="135"/>
        <v>0.00187734798659884j</v>
      </c>
      <c r="AT216" s="159" t="str">
        <f t="shared" si="136"/>
        <v>-0.000711140508849085+0.00187734798659884j</v>
      </c>
      <c r="AU216" s="159" t="str">
        <f t="shared" si="137"/>
        <v>4.78258417227535-1.89154560967618j</v>
      </c>
      <c r="AW216" s="159" t="str">
        <f t="shared" si="151"/>
        <v>2.68265464215099-0.223978479885449j</v>
      </c>
      <c r="AX216" s="159">
        <f t="shared" si="138"/>
        <v>8.601464128041167</v>
      </c>
      <c r="AY216" s="159">
        <f t="shared" si="139"/>
        <v>175.22736670659557</v>
      </c>
      <c r="AZ216" s="159" t="str">
        <f t="shared" si="140"/>
        <v>-0.136263501134337+0.0071673717231234j</v>
      </c>
      <c r="BA216" s="159">
        <f t="shared" si="141"/>
        <v>-17.300410132726533</v>
      </c>
      <c r="BB216" s="159">
        <f t="shared" si="142"/>
        <v>-3.0109460759596232</v>
      </c>
      <c r="BD216" s="159" t="str">
        <f t="shared" si="143"/>
        <v>-0.150475784237897-0.0126782262899374j</v>
      </c>
      <c r="BE216" s="159">
        <f t="shared" si="144"/>
        <v>-16.419946989327482</v>
      </c>
      <c r="BF216" s="159">
        <f t="shared" si="145"/>
        <v>4.816039162663543</v>
      </c>
      <c r="BH216" s="159">
        <f t="shared" si="152"/>
        <v>17.419946989327482</v>
      </c>
      <c r="BI216" s="169">
        <f t="shared" si="153"/>
        <v>-4.816039162663543</v>
      </c>
      <c r="BN216" s="165"/>
      <c r="BO216" s="165"/>
      <c r="BP216" s="165"/>
    </row>
    <row r="217" spans="1:68" s="159" customFormat="1">
      <c r="A217" s="159">
        <v>153</v>
      </c>
      <c r="B217" s="159">
        <f t="shared" si="103"/>
        <v>114815.3621496884</v>
      </c>
      <c r="C217" s="159" t="str">
        <f t="shared" si="104"/>
        <v>721406.196497425j</v>
      </c>
      <c r="D217" s="159">
        <f t="shared" si="105"/>
        <v>0.78907892183097472</v>
      </c>
      <c r="E217" s="159" t="str">
        <f t="shared" si="106"/>
        <v>-0.721406196497425j</v>
      </c>
      <c r="F217" s="159" t="str">
        <f t="shared" si="107"/>
        <v>0.789078921830975-0.721406196497425j</v>
      </c>
      <c r="G217" s="159">
        <f t="shared" si="108"/>
        <v>0.58073755822645479</v>
      </c>
      <c r="H217" s="159">
        <f t="shared" si="109"/>
        <v>-42.43475100375408</v>
      </c>
      <c r="J217" s="159">
        <f t="shared" si="110"/>
        <v>6.3936063936063938</v>
      </c>
      <c r="K217" s="159" t="str">
        <f t="shared" si="111"/>
        <v>1+176.769767358747j</v>
      </c>
      <c r="L217" s="159">
        <f t="shared" si="112"/>
        <v>-304.74898427814088</v>
      </c>
      <c r="M217" s="159" t="str">
        <f t="shared" si="113"/>
        <v>1.93161373739385j</v>
      </c>
      <c r="N217" s="159" t="str">
        <f t="shared" si="114"/>
        <v>-304.748984278141+1.93161373739385j</v>
      </c>
      <c r="O217" s="159" t="str">
        <f t="shared" si="115"/>
        <v>0.000395172652965189-0.580047885824902j</v>
      </c>
      <c r="P217" s="159" t="str">
        <f t="shared" si="116"/>
        <v>0.00252657840057663-3.70859787140796j</v>
      </c>
      <c r="R217" s="159">
        <f t="shared" si="117"/>
        <v>31.968031968031973</v>
      </c>
      <c r="S217" s="159" t="str">
        <f t="shared" si="118"/>
        <v>1+0.0252492168774099j</v>
      </c>
      <c r="T217" s="159" t="str">
        <f t="shared" si="119"/>
        <v>-304.748984278141+1.93161373739385j</v>
      </c>
      <c r="U217" s="159" t="str">
        <f t="shared" si="120"/>
        <v>-0.00328073216178156-0.000103647020398232j</v>
      </c>
      <c r="V217" s="159" t="str">
        <f t="shared" si="121"/>
        <v>-0.104878550626384-0.00331339126148194j</v>
      </c>
      <c r="X217" s="159" t="str">
        <f t="shared" si="122"/>
        <v>-0.104793504309256-0.114780761870889j</v>
      </c>
      <c r="Y217" s="159">
        <f t="shared" si="123"/>
        <v>-16.169695523749215</v>
      </c>
      <c r="Z217" s="159">
        <f t="shared" si="124"/>
        <v>47.6042832247023</v>
      </c>
      <c r="AB217" s="159" t="str">
        <f t="shared" si="125"/>
        <v>-0.0461918302692729-0.00145932229089713j</v>
      </c>
      <c r="AC217" s="159">
        <f t="shared" si="126"/>
        <v>-26.704364073447305</v>
      </c>
      <c r="AD217" s="159">
        <f t="shared" si="127"/>
        <v>1.8095235987751153</v>
      </c>
      <c r="AF217" s="159" t="str">
        <f t="shared" si="128"/>
        <v>-0.0505588962451602-0.00811266557629709j</v>
      </c>
      <c r="AG217" s="159">
        <f t="shared" si="129"/>
        <v>-25.813644418261681</v>
      </c>
      <c r="AH217" s="159">
        <f t="shared" si="130"/>
        <v>9.1159567817439608</v>
      </c>
      <c r="AJ217" s="159" t="str">
        <f t="shared" si="131"/>
        <v>7632.34251838999-33820.7228534282j</v>
      </c>
      <c r="AK217" s="159" t="str">
        <f t="shared" si="132"/>
        <v>30000-0.000649265576847684j</v>
      </c>
      <c r="AL217" s="159" t="str">
        <f t="shared" si="146"/>
        <v>10000-30804.0356876829j</v>
      </c>
      <c r="AM217" s="159" t="str">
        <f t="shared" si="147"/>
        <v>917.166733125317-9765.21272653885j</v>
      </c>
      <c r="AN217" s="159" t="str">
        <f t="shared" si="148"/>
        <v>10917.1667331253-9765.21272653885j</v>
      </c>
      <c r="AO217" s="159" t="str">
        <f t="shared" si="149"/>
        <v>9189.65130275771-4966.5580314758j</v>
      </c>
      <c r="AP217" s="159" t="str">
        <f t="shared" si="150"/>
        <v>0.440998072149116+0.39633124636932j</v>
      </c>
      <c r="AQ217" s="159" t="str">
        <f t="shared" si="133"/>
        <v>1+72.0684790300928j</v>
      </c>
      <c r="AR217" s="159">
        <f t="shared" si="134"/>
        <v>-7.7975971016680426E-4</v>
      </c>
      <c r="AS217" s="159" t="str">
        <f t="shared" si="135"/>
        <v>0.00196582467139352j</v>
      </c>
      <c r="AT217" s="159" t="str">
        <f t="shared" si="136"/>
        <v>-0.000779759710166804+0.00196582467139352j</v>
      </c>
      <c r="AU217" s="159" t="str">
        <f t="shared" si="137"/>
        <v>4.72536024558175-1.95065490393418j</v>
      </c>
      <c r="AW217" s="159" t="str">
        <f t="shared" si="151"/>
        <v>2.70859670316685-0.34938470705504j</v>
      </c>
      <c r="AX217" s="159">
        <f t="shared" si="138"/>
        <v>8.726553239403259</v>
      </c>
      <c r="AY217" s="159">
        <f t="shared" si="139"/>
        <v>172.64994356935333</v>
      </c>
      <c r="AZ217" s="159" t="str">
        <f t="shared" si="140"/>
        <v>-0.125624904071699+0.0121860035409842j</v>
      </c>
      <c r="BA217" s="159">
        <f t="shared" si="141"/>
        <v>-17.977810834044064</v>
      </c>
      <c r="BB217" s="159">
        <f t="shared" si="142"/>
        <v>-5.5405328318716158</v>
      </c>
      <c r="BD217" s="159" t="str">
        <f t="shared" si="143"/>
        <v>-0.139778100971206-0.00430943408021197j</v>
      </c>
      <c r="BE217" s="159">
        <f t="shared" si="144"/>
        <v>-17.087091178858415</v>
      </c>
      <c r="BF217" s="159">
        <f t="shared" si="145"/>
        <v>1.7659003510972582</v>
      </c>
      <c r="BH217" s="159">
        <f t="shared" si="152"/>
        <v>18.087091178858415</v>
      </c>
      <c r="BI217" s="169">
        <f t="shared" si="153"/>
        <v>-1.7659003510972582</v>
      </c>
      <c r="BN217" s="165"/>
      <c r="BO217" s="165"/>
      <c r="BP217" s="165"/>
    </row>
    <row r="218" spans="1:68" s="159" customFormat="1">
      <c r="A218" s="159">
        <v>154</v>
      </c>
      <c r="B218" s="159">
        <f t="shared" si="103"/>
        <v>120226.44346174138</v>
      </c>
      <c r="C218" s="159" t="str">
        <f t="shared" si="104"/>
        <v>755405.023093271j</v>
      </c>
      <c r="D218" s="159">
        <f t="shared" si="105"/>
        <v>0.76872963668065109</v>
      </c>
      <c r="E218" s="159" t="str">
        <f t="shared" si="106"/>
        <v>-0.755405023093271j</v>
      </c>
      <c r="F218" s="159" t="str">
        <f t="shared" si="107"/>
        <v>0.768729636680651-0.755405023093271j</v>
      </c>
      <c r="G218" s="159">
        <f t="shared" si="108"/>
        <v>0.65049874740046798</v>
      </c>
      <c r="H218" s="159">
        <f t="shared" si="109"/>
        <v>-44.499109433512196</v>
      </c>
      <c r="J218" s="159">
        <f t="shared" si="110"/>
        <v>6.3936063936063938</v>
      </c>
      <c r="K218" s="159" t="str">
        <f t="shared" si="111"/>
        <v>1+185.10066983366j</v>
      </c>
      <c r="L218" s="159">
        <f t="shared" si="112"/>
        <v>-334.24709475390745</v>
      </c>
      <c r="M218" s="159" t="str">
        <f t="shared" si="113"/>
        <v>2.02264788823239j</v>
      </c>
      <c r="N218" s="159" t="str">
        <f t="shared" si="114"/>
        <v>-334.247094753907+2.02264788823239j</v>
      </c>
      <c r="O218" s="159" t="str">
        <f t="shared" si="115"/>
        <v>0.000359331467556812-0.553781755886039j</v>
      </c>
      <c r="P218" s="159" t="str">
        <f t="shared" si="116"/>
        <v>0.0022974239683952-3.54066257509555j</v>
      </c>
      <c r="R218" s="159">
        <f t="shared" si="117"/>
        <v>31.968031968031973</v>
      </c>
      <c r="S218" s="159" t="str">
        <f t="shared" si="118"/>
        <v>1+0.0264391758082645j</v>
      </c>
      <c r="T218" s="159" t="str">
        <f t="shared" si="119"/>
        <v>-334.247094753907+2.02264788823239j</v>
      </c>
      <c r="U218" s="159" t="str">
        <f t="shared" si="120"/>
        <v>-0.00299121042829875-0.0000972015666680433j</v>
      </c>
      <c r="V218" s="159" t="str">
        <f t="shared" si="121"/>
        <v>-0.095623110594965-0.0031073427905868j</v>
      </c>
      <c r="X218" s="159" t="str">
        <f t="shared" si="122"/>
        <v>-0.10477219532295-0.106758753098675j</v>
      </c>
      <c r="Y218" s="159">
        <f t="shared" si="123"/>
        <v>-16.502438606024207</v>
      </c>
      <c r="Z218" s="159">
        <f t="shared" si="124"/>
        <v>45.538067980566552</v>
      </c>
      <c r="AB218" s="159" t="str">
        <f t="shared" si="125"/>
        <v>-0.0421154417947435-0.00136857202844607j</v>
      </c>
      <c r="AC218" s="159">
        <f t="shared" si="126"/>
        <v>-27.506589172690532</v>
      </c>
      <c r="AD218" s="159">
        <f t="shared" si="127"/>
        <v>1.8612132397459504</v>
      </c>
      <c r="AF218" s="159" t="str">
        <f t="shared" si="128"/>
        <v>-0.046204982270163-0.00703883222754486j</v>
      </c>
      <c r="AG218" s="159">
        <f t="shared" si="129"/>
        <v>-26.6065877699738</v>
      </c>
      <c r="AH218" s="159">
        <f t="shared" si="130"/>
        <v>8.6618001275138568</v>
      </c>
      <c r="AJ218" s="159" t="str">
        <f t="shared" si="131"/>
        <v>6990.58622987724-32436.8468777148j</v>
      </c>
      <c r="AK218" s="159" t="str">
        <f t="shared" si="132"/>
        <v>30000-0.000679864520783943j</v>
      </c>
      <c r="AL218" s="159" t="str">
        <f t="shared" si="146"/>
        <v>10000-29417.6257012768j</v>
      </c>
      <c r="AM218" s="159" t="str">
        <f t="shared" si="147"/>
        <v>912.962467670588-9343.6392833537j</v>
      </c>
      <c r="AN218" s="159" t="str">
        <f t="shared" si="148"/>
        <v>10912.9624676706-9343.6392833537j</v>
      </c>
      <c r="AO218" s="159" t="str">
        <f t="shared" si="149"/>
        <v>9092.54599868256-4774.81213719548j</v>
      </c>
      <c r="AP218" s="159" t="str">
        <f t="shared" si="150"/>
        <v>0.458475258835356+0.40203448811222j</v>
      </c>
      <c r="AQ218" s="159" t="str">
        <f t="shared" si="133"/>
        <v>1+75.4649618070178j</v>
      </c>
      <c r="AR218" s="159">
        <f t="shared" si="134"/>
        <v>-8.5499916824844594E-4</v>
      </c>
      <c r="AS218" s="159" t="str">
        <f t="shared" si="135"/>
        <v>0.00205847113387893j</v>
      </c>
      <c r="AT218" s="159" t="str">
        <f t="shared" si="136"/>
        <v>-0.000854999168248446+0.00205847113387893j</v>
      </c>
      <c r="AU218" s="159" t="str">
        <f t="shared" si="137"/>
        <v>4.66416904756147-2.01016209949854j</v>
      </c>
      <c r="AW218" s="159" t="str">
        <f t="shared" si="151"/>
        <v>2.72310859957182-0.481829371977677j</v>
      </c>
      <c r="AX218" s="159">
        <f t="shared" si="138"/>
        <v>8.8351834923547585</v>
      </c>
      <c r="AY218" s="159">
        <f t="shared" si="139"/>
        <v>169.96588751056814</v>
      </c>
      <c r="AZ218" s="159" t="str">
        <f t="shared" si="140"/>
        <v>-0.115344339927005+0.0165656866107287j</v>
      </c>
      <c r="BA218" s="159">
        <f t="shared" si="141"/>
        <v>-18.671405680335763</v>
      </c>
      <c r="BB218" s="159">
        <f t="shared" si="142"/>
        <v>-8.1728992496858837</v>
      </c>
      <c r="BD218" s="159" t="str">
        <f t="shared" si="143"/>
        <v>-0.129212700674599+0.0030954130197016j</v>
      </c>
      <c r="BE218" s="159">
        <f t="shared" si="144"/>
        <v>-17.771404277619009</v>
      </c>
      <c r="BF218" s="159">
        <f t="shared" si="145"/>
        <v>-1.3723123619179773</v>
      </c>
      <c r="BH218" s="159">
        <f t="shared" si="152"/>
        <v>18.771404277619009</v>
      </c>
      <c r="BI218" s="169">
        <f t="shared" si="153"/>
        <v>1.3723123619179773</v>
      </c>
      <c r="BN218" s="165"/>
      <c r="BO218" s="165"/>
      <c r="BP218" s="165"/>
    </row>
    <row r="219" spans="1:68" s="159" customFormat="1">
      <c r="A219" s="159">
        <v>155</v>
      </c>
      <c r="B219" s="159">
        <f t="shared" si="103"/>
        <v>125892.5411794168</v>
      </c>
      <c r="C219" s="159" t="str">
        <f t="shared" si="104"/>
        <v>791006.165022013j</v>
      </c>
      <c r="D219" s="159">
        <f t="shared" si="105"/>
        <v>0.7464170892062213</v>
      </c>
      <c r="E219" s="159" t="str">
        <f t="shared" si="106"/>
        <v>-0.791006165022013j</v>
      </c>
      <c r="F219" s="159" t="str">
        <f t="shared" si="107"/>
        <v>0.746417089206221-0.791006165022013j</v>
      </c>
      <c r="G219" s="159">
        <f t="shared" si="108"/>
        <v>0.72922046100503179</v>
      </c>
      <c r="H219" s="159">
        <f t="shared" si="109"/>
        <v>-46.661253596068761</v>
      </c>
      <c r="J219" s="159">
        <f t="shared" si="110"/>
        <v>6.3936063936063938</v>
      </c>
      <c r="K219" s="159" t="str">
        <f t="shared" si="111"/>
        <v>1+193.824195646169j</v>
      </c>
      <c r="L219" s="159">
        <f t="shared" si="112"/>
        <v>-366.59112971800795</v>
      </c>
      <c r="M219" s="159" t="str">
        <f t="shared" si="113"/>
        <v>2.117972346423j</v>
      </c>
      <c r="N219" s="159" t="str">
        <f t="shared" si="114"/>
        <v>-366.591129718008+2.117972346423j</v>
      </c>
      <c r="O219" s="159" t="str">
        <f t="shared" si="115"/>
        <v>0.000326824905504748-0.528718476055739j</v>
      </c>
      <c r="P219" s="159" t="str">
        <f t="shared" si="116"/>
        <v>0.00208958980542496-3.3804178289278j</v>
      </c>
      <c r="R219" s="159">
        <f t="shared" si="117"/>
        <v>31.968031968031973</v>
      </c>
      <c r="S219" s="159" t="str">
        <f t="shared" si="118"/>
        <v>1+0.0276852157757705j</v>
      </c>
      <c r="T219" s="159" t="str">
        <f t="shared" si="119"/>
        <v>-366.591129718008+2.117972346423j</v>
      </c>
      <c r="U219" s="159" t="str">
        <f t="shared" si="120"/>
        <v>-0.0027273073334532-0.000091277651245846j</v>
      </c>
      <c r="V219" s="159" t="str">
        <f t="shared" si="121"/>
        <v>-0.0871866480224799-0.00291796687299408j</v>
      </c>
      <c r="X219" s="159" t="str">
        <f t="shared" si="122"/>
        <v>-0.104752731000568-0.0989702936790543j</v>
      </c>
      <c r="Y219" s="159">
        <f t="shared" si="123"/>
        <v>-16.826000199658054</v>
      </c>
      <c r="Z219" s="159">
        <f t="shared" si="124"/>
        <v>43.374163523226599</v>
      </c>
      <c r="AB219" s="159" t="str">
        <f t="shared" si="125"/>
        <v>-0.038399756891645-0.00128516488570539j</v>
      </c>
      <c r="AC219" s="159">
        <f t="shared" si="126"/>
        <v>-28.308568648336244</v>
      </c>
      <c r="AD219" s="159">
        <f t="shared" si="127"/>
        <v>1.916862382025414</v>
      </c>
      <c r="AF219" s="159" t="str">
        <f t="shared" si="128"/>
        <v>-0.0422182364241282-0.00610280123984j</v>
      </c>
      <c r="AG219" s="159">
        <f t="shared" si="129"/>
        <v>-27.400184224855618</v>
      </c>
      <c r="AH219" s="159">
        <f t="shared" si="130"/>
        <v>8.2253397120371403</v>
      </c>
      <c r="AJ219" s="159" t="str">
        <f t="shared" si="131"/>
        <v>6400.48668540323-31098.3990446612j</v>
      </c>
      <c r="AK219" s="159" t="str">
        <f t="shared" si="132"/>
        <v>30000-0.000711905548519812j</v>
      </c>
      <c r="AL219" s="159" t="str">
        <f t="shared" si="146"/>
        <v>10000-28093.614443073j</v>
      </c>
      <c r="AM219" s="159" t="str">
        <f t="shared" si="147"/>
        <v>908.396662607176-8941.70538728712j</v>
      </c>
      <c r="AN219" s="159" t="str">
        <f t="shared" si="148"/>
        <v>10908.3966626072-8941.70538728712j</v>
      </c>
      <c r="AO219" s="159" t="str">
        <f t="shared" si="149"/>
        <v>9002.8025627769-4589.54078174783j</v>
      </c>
      <c r="AP219" s="159" t="str">
        <f t="shared" si="150"/>
        <v>0.476424158013676+0.407028299806518j</v>
      </c>
      <c r="AQ219" s="159" t="str">
        <f t="shared" si="133"/>
        <v>1+79.0215158856991j</v>
      </c>
      <c r="AR219" s="159">
        <f t="shared" si="134"/>
        <v>-9.3749759352459387E-4</v>
      </c>
      <c r="AS219" s="159" t="str">
        <f t="shared" si="135"/>
        <v>0.00215548388962334j</v>
      </c>
      <c r="AT219" s="159" t="str">
        <f t="shared" si="136"/>
        <v>-0.000937497593524594+0.00215548388962334j</v>
      </c>
      <c r="AU219" s="159" t="str">
        <f t="shared" si="137"/>
        <v>4.59887029357189-2.06980430456152j</v>
      </c>
      <c r="AW219" s="159" t="str">
        <f t="shared" si="151"/>
        <v>2.72491002346371-0.620155916104369j</v>
      </c>
      <c r="AX219" s="159">
        <f t="shared" si="138"/>
        <v>8.9263590816874157</v>
      </c>
      <c r="AY219" s="159">
        <f t="shared" si="139"/>
        <v>167.17857664699528</v>
      </c>
      <c r="AZ219" s="159" t="str">
        <f t="shared" si="140"/>
        <v>-0.105432885059653+0.0203118777344609j</v>
      </c>
      <c r="BA219" s="159">
        <f t="shared" si="141"/>
        <v>-19.382209566648825</v>
      </c>
      <c r="BB219" s="159">
        <f t="shared" si="142"/>
        <v>-10.904560970979276</v>
      </c>
      <c r="BD219" s="159" t="str">
        <f t="shared" si="143"/>
        <v>-0.118825583898764+0.00955230481626924j</v>
      </c>
      <c r="BE219" s="159">
        <f t="shared" si="144"/>
        <v>-18.473825143168167</v>
      </c>
      <c r="BF219" s="159">
        <f t="shared" si="145"/>
        <v>-4.596083640967521</v>
      </c>
      <c r="BH219" s="159">
        <f t="shared" si="152"/>
        <v>19.473825143168167</v>
      </c>
      <c r="BI219" s="169">
        <f t="shared" si="153"/>
        <v>4.596083640967521</v>
      </c>
      <c r="BN219" s="165"/>
      <c r="BO219" s="165"/>
      <c r="BP219" s="165"/>
    </row>
    <row r="220" spans="1:68" s="159" customFormat="1">
      <c r="A220" s="159">
        <v>156</v>
      </c>
      <c r="B220" s="159">
        <f t="shared" si="103"/>
        <v>131825.6738556409</v>
      </c>
      <c r="C220" s="159" t="str">
        <f t="shared" si="104"/>
        <v>828285.137078811j</v>
      </c>
      <c r="D220" s="159">
        <f t="shared" si="105"/>
        <v>0.72195186740009898</v>
      </c>
      <c r="E220" s="159" t="str">
        <f t="shared" si="106"/>
        <v>-0.828285137078811j</v>
      </c>
      <c r="F220" s="159" t="str">
        <f t="shared" si="107"/>
        <v>0.721951867400099-0.828285137078811j</v>
      </c>
      <c r="G220" s="159">
        <f t="shared" si="108"/>
        <v>0.81804684753913359</v>
      </c>
      <c r="H220" s="159">
        <f t="shared" si="109"/>
        <v>-48.923864437675455</v>
      </c>
      <c r="J220" s="159">
        <f t="shared" si="110"/>
        <v>6.3936063936063938</v>
      </c>
      <c r="K220" s="159" t="str">
        <f t="shared" si="111"/>
        <v>1+202.958848564106j</v>
      </c>
      <c r="L220" s="159">
        <f t="shared" si="112"/>
        <v>-402.05565883143737</v>
      </c>
      <c r="M220" s="159" t="str">
        <f t="shared" si="113"/>
        <v>2.21778930792188j</v>
      </c>
      <c r="N220" s="159" t="str">
        <f t="shared" si="114"/>
        <v>-402.055658831437+2.21778930792188j</v>
      </c>
      <c r="O220" s="159" t="str">
        <f t="shared" si="115"/>
        <v>0.000297328882477841-0.504801225136792j</v>
      </c>
      <c r="P220" s="159" t="str">
        <f t="shared" si="116"/>
        <v>0.00190100384401417-3.22750034053493j</v>
      </c>
      <c r="R220" s="159">
        <f t="shared" si="117"/>
        <v>31.968031968031973</v>
      </c>
      <c r="S220" s="159" t="str">
        <f t="shared" si="118"/>
        <v>1+0.0289899797977584j</v>
      </c>
      <c r="T220" s="159" t="str">
        <f t="shared" si="119"/>
        <v>-402.055658831437+2.21778930792188j</v>
      </c>
      <c r="U220" s="159" t="str">
        <f t="shared" si="120"/>
        <v>-0.002486744419184-0.0000858215876937214j</v>
      </c>
      <c r="V220" s="159" t="str">
        <f t="shared" si="121"/>
        <v>-0.0794963250887992-0.00274354725894014j</v>
      </c>
      <c r="X220" s="159" t="str">
        <f t="shared" si="122"/>
        <v>-0.104734954175249-0.0913979422722187j</v>
      </c>
      <c r="Y220" s="159">
        <f t="shared" si="123"/>
        <v>-17.139255702412953</v>
      </c>
      <c r="Z220" s="159">
        <f t="shared" si="124"/>
        <v>41.109882881615675</v>
      </c>
      <c r="AB220" s="159" t="str">
        <f t="shared" si="125"/>
        <v>-0.0350126954806427-0.00120834497200623j</v>
      </c>
      <c r="AC220" s="159">
        <f t="shared" si="126"/>
        <v>-29.110319472886875</v>
      </c>
      <c r="AD220" s="159">
        <f t="shared" si="127"/>
        <v>1.976585893668414</v>
      </c>
      <c r="AF220" s="159" t="str">
        <f t="shared" si="128"/>
        <v>-0.0385689734533206-0.00528722728902133j</v>
      </c>
      <c r="AG220" s="159">
        <f t="shared" si="129"/>
        <v>-28.194381887954894</v>
      </c>
      <c r="AH220" s="159">
        <f t="shared" si="130"/>
        <v>7.8057380253895019</v>
      </c>
      <c r="AJ220" s="159" t="str">
        <f t="shared" si="131"/>
        <v>5858.2606429017-29805.3155241955j</v>
      </c>
      <c r="AK220" s="159" t="str">
        <f t="shared" si="132"/>
        <v>30000-0.000745456623370928j</v>
      </c>
      <c r="AL220" s="159" t="str">
        <f t="shared" si="146"/>
        <v>10000-26829.1935076795j</v>
      </c>
      <c r="AM220" s="159" t="str">
        <f t="shared" si="147"/>
        <v>903.442560112972-8558.53496454583j</v>
      </c>
      <c r="AN220" s="159" t="str">
        <f t="shared" si="148"/>
        <v>10903.442560113-8558.53496454583j</v>
      </c>
      <c r="AO220" s="159" t="str">
        <f t="shared" si="149"/>
        <v>8919.85776365682-4410.75676212032j</v>
      </c>
      <c r="AP220" s="159" t="str">
        <f t="shared" si="150"/>
        <v>0.494785128768899+0.411264412679766j</v>
      </c>
      <c r="AQ220" s="159" t="str">
        <f t="shared" si="133"/>
        <v>1+82.7456851941732j</v>
      </c>
      <c r="AR220" s="159">
        <f t="shared" si="134"/>
        <v>-1.0279553180560391E-3</v>
      </c>
      <c r="AS220" s="159" t="str">
        <f t="shared" si="135"/>
        <v>0.00225706871568839j</v>
      </c>
      <c r="AT220" s="159" t="str">
        <f t="shared" si="136"/>
        <v>-0.00102795531805604+0.00225706871568839j</v>
      </c>
      <c r="AU220" s="159" t="str">
        <f t="shared" si="137"/>
        <v>4.52934138403938-2.12929297615504j</v>
      </c>
      <c r="AW220" s="159" t="str">
        <f t="shared" si="151"/>
        <v>2.71284732128051-0.762963510696622j</v>
      </c>
      <c r="AX220" s="159">
        <f t="shared" si="138"/>
        <v>8.9991095683339637</v>
      </c>
      <c r="AY220" s="159">
        <f t="shared" si="139"/>
        <v>164.29184752641234</v>
      </c>
      <c r="AZ220" s="159" t="str">
        <f t="shared" si="140"/>
        <v>-0.0959060202674462+0.023435353642373j</v>
      </c>
      <c r="BA220" s="159">
        <f t="shared" si="141"/>
        <v>-20.111209904552922</v>
      </c>
      <c r="BB220" s="159">
        <f t="shared" si="142"/>
        <v>-13.731566579919217</v>
      </c>
      <c r="BD220" s="159" t="str">
        <f t="shared" si="143"/>
        <v>-0.108665697811662+0.0150832790018875j</v>
      </c>
      <c r="BE220" s="159">
        <f t="shared" si="144"/>
        <v>-19.195272319620976</v>
      </c>
      <c r="BF220" s="159">
        <f t="shared" si="145"/>
        <v>-7.902414448198158</v>
      </c>
      <c r="BH220" s="159">
        <f t="shared" si="152"/>
        <v>20.195272319620976</v>
      </c>
      <c r="BI220" s="169">
        <f t="shared" si="153"/>
        <v>7.902414448198158</v>
      </c>
      <c r="BN220" s="165"/>
      <c r="BO220" s="165"/>
      <c r="BP220" s="165"/>
    </row>
    <row r="221" spans="1:68" s="159" customFormat="1">
      <c r="A221" s="159">
        <v>157</v>
      </c>
      <c r="B221" s="159">
        <f t="shared" si="103"/>
        <v>138038.42646028864</v>
      </c>
      <c r="C221" s="159" t="str">
        <f t="shared" si="104"/>
        <v>867321.012961475j</v>
      </c>
      <c r="D221" s="159">
        <f t="shared" si="105"/>
        <v>0.69512628512588004</v>
      </c>
      <c r="E221" s="159" t="str">
        <f t="shared" si="106"/>
        <v>-0.867321012961475j</v>
      </c>
      <c r="F221" s="159" t="str">
        <f t="shared" si="107"/>
        <v>0.69512628512588-0.867321012961475j</v>
      </c>
      <c r="G221" s="159">
        <f t="shared" si="108"/>
        <v>0.91823870188921297</v>
      </c>
      <c r="H221" s="159">
        <f t="shared" si="109"/>
        <v>-51.289092687180535</v>
      </c>
      <c r="J221" s="159">
        <f t="shared" si="110"/>
        <v>6.3936063936063938</v>
      </c>
      <c r="K221" s="159" t="str">
        <f t="shared" si="111"/>
        <v>1+212.524004411015j</v>
      </c>
      <c r="L221" s="159">
        <f t="shared" si="112"/>
        <v>-440.94174174079654</v>
      </c>
      <c r="M221" s="159" t="str">
        <f t="shared" si="113"/>
        <v>2.32231049788704j</v>
      </c>
      <c r="N221" s="159" t="str">
        <f t="shared" si="114"/>
        <v>-440.941741740797+2.32231049788704j</v>
      </c>
      <c r="O221" s="159" t="str">
        <f t="shared" si="115"/>
        <v>0.000270553045029332-0.481976088867921j</v>
      </c>
      <c r="P221" s="159" t="str">
        <f t="shared" si="116"/>
        <v>0.00172980967850922-3.08156540335134j</v>
      </c>
      <c r="R221" s="159">
        <f t="shared" si="117"/>
        <v>31.968031968031973</v>
      </c>
      <c r="S221" s="159" t="str">
        <f t="shared" si="118"/>
        <v>1+0.0303562354536516j</v>
      </c>
      <c r="T221" s="159" t="str">
        <f t="shared" si="119"/>
        <v>-440.941741740797+2.32231049788704j</v>
      </c>
      <c r="U221" s="159" t="str">
        <f t="shared" si="120"/>
        <v>-0.00226744781680019-0.0000807860765945759j</v>
      </c>
      <c r="V221" s="159" t="str">
        <f t="shared" si="121"/>
        <v>-0.0724858442933128-0.00258257187914728j</v>
      </c>
      <c r="X221" s="159" t="str">
        <f t="shared" si="122"/>
        <v>-0.104718720632445-0.0840248357728745j</v>
      </c>
      <c r="Y221" s="159">
        <f t="shared" si="123"/>
        <v>-17.440962128277349</v>
      </c>
      <c r="Z221" s="159">
        <f t="shared" si="124"/>
        <v>38.743069792130115</v>
      </c>
      <c r="AB221" s="159" t="str">
        <f t="shared" si="125"/>
        <v>-0.0319250580459427-0.00113744632422254j</v>
      </c>
      <c r="AC221" s="159">
        <f t="shared" si="126"/>
        <v>-29.911856651379111</v>
      </c>
      <c r="AD221" s="159">
        <f t="shared" si="127"/>
        <v>2.0405074510959764</v>
      </c>
      <c r="AF221" s="159" t="str">
        <f t="shared" si="128"/>
        <v>-0.0352296929001389-0.00457690290070642j</v>
      </c>
      <c r="AG221" s="159">
        <f t="shared" si="129"/>
        <v>-28.989133555996368</v>
      </c>
      <c r="AH221" s="159">
        <f t="shared" si="130"/>
        <v>7.4021826047997763</v>
      </c>
      <c r="AJ221" s="159" t="str">
        <f t="shared" si="131"/>
        <v>5360.34044105838-28557.3172728576j</v>
      </c>
      <c r="AK221" s="159" t="str">
        <f t="shared" si="132"/>
        <v>30000-0.000780588911665328j</v>
      </c>
      <c r="AL221" s="159" t="str">
        <f t="shared" si="146"/>
        <v>10000-25621.6808887683j</v>
      </c>
      <c r="AM221" s="159" t="str">
        <f t="shared" si="147"/>
        <v>898.072233167619-8193.28897481953j</v>
      </c>
      <c r="AN221" s="159" t="str">
        <f t="shared" si="148"/>
        <v>10898.0722331676-8193.28897481953j</v>
      </c>
      <c r="AO221" s="159" t="str">
        <f t="shared" si="149"/>
        <v>8843.17756618381-4238.43844289193j</v>
      </c>
      <c r="AP221" s="159" t="str">
        <f t="shared" si="150"/>
        <v>0.513492201869731+0.414700739960711j</v>
      </c>
      <c r="AQ221" s="159" t="str">
        <f t="shared" si="133"/>
        <v>1+86.6453691948514j</v>
      </c>
      <c r="AR221" s="159">
        <f t="shared" si="134"/>
        <v>-1.1271402406774918E-3</v>
      </c>
      <c r="AS221" s="159" t="str">
        <f t="shared" si="135"/>
        <v>0.00236344108710989j</v>
      </c>
      <c r="AT221" s="159" t="str">
        <f t="shared" si="136"/>
        <v>-0.00112714024067749+0.00236344108710989j</v>
      </c>
      <c r="AU221" s="159" t="str">
        <f t="shared" si="137"/>
        <v>4.45548148773309-2.18831453198694j</v>
      </c>
      <c r="AW221" s="159" t="str">
        <f t="shared" si="151"/>
        <v>2.68594347431672-0.908619559210769j</v>
      </c>
      <c r="AX221" s="159">
        <f t="shared" si="138"/>
        <v>9.0524966665798683</v>
      </c>
      <c r="AY221" s="159">
        <f t="shared" si="139"/>
        <v>161.30999398206555</v>
      </c>
      <c r="AZ221" s="159" t="str">
        <f t="shared" si="140"/>
        <v>-0.0867824073034232+0.0259526156375516j</v>
      </c>
      <c r="BA221" s="159">
        <f t="shared" si="141"/>
        <v>-20.859359984799251</v>
      </c>
      <c r="BB221" s="159">
        <f t="shared" si="142"/>
        <v>-16.649498566838503</v>
      </c>
      <c r="BD221" s="159" t="str">
        <f t="shared" si="143"/>
        <v>-0.0987836272435005+0.0197170855553213j</v>
      </c>
      <c r="BE221" s="159">
        <f t="shared" si="144"/>
        <v>-19.936636889416498</v>
      </c>
      <c r="BF221" s="159">
        <f t="shared" si="145"/>
        <v>-11.287823413134674</v>
      </c>
      <c r="BH221" s="159">
        <f t="shared" si="152"/>
        <v>20.936636889416498</v>
      </c>
      <c r="BI221" s="169">
        <f t="shared" si="153"/>
        <v>11.287823413134674</v>
      </c>
      <c r="BN221" s="165"/>
      <c r="BO221" s="165"/>
      <c r="BP221" s="165"/>
    </row>
    <row r="222" spans="1:68" s="159" customFormat="1">
      <c r="A222" s="159">
        <v>158</v>
      </c>
      <c r="B222" s="159">
        <f t="shared" si="103"/>
        <v>144543.9770745929</v>
      </c>
      <c r="C222" s="159" t="str">
        <f t="shared" si="104"/>
        <v>908196.592996385j</v>
      </c>
      <c r="D222" s="159">
        <f t="shared" si="105"/>
        <v>0.66571261906335322</v>
      </c>
      <c r="E222" s="159" t="str">
        <f t="shared" si="106"/>
        <v>-0.908196592996385j</v>
      </c>
      <c r="F222" s="159" t="str">
        <f t="shared" si="107"/>
        <v>0.665712619063353-0.908196592996385j</v>
      </c>
      <c r="G222" s="159">
        <f t="shared" si="108"/>
        <v>1.0311731589971735</v>
      </c>
      <c r="H222" s="159">
        <f t="shared" si="109"/>
        <v>-53.758398498363043</v>
      </c>
      <c r="J222" s="159">
        <f t="shared" si="110"/>
        <v>6.3936063936063938</v>
      </c>
      <c r="K222" s="159" t="str">
        <f t="shared" si="111"/>
        <v>1+222.539952164869j</v>
      </c>
      <c r="L222" s="159">
        <f t="shared" si="112"/>
        <v>-483.57948378432599</v>
      </c>
      <c r="M222" s="159" t="str">
        <f t="shared" si="113"/>
        <v>2.43175761977582j</v>
      </c>
      <c r="N222" s="159" t="str">
        <f t="shared" si="114"/>
        <v>-483.579483784326+2.43175761977582j</v>
      </c>
      <c r="O222" s="159" t="str">
        <f t="shared" si="115"/>
        <v>0.000246236912046633-0.460191883317435j</v>
      </c>
      <c r="P222" s="159" t="str">
        <f t="shared" si="116"/>
        <v>0.00157434189520325-2.94228576746412j</v>
      </c>
      <c r="R222" s="159">
        <f t="shared" si="117"/>
        <v>31.968031968031973</v>
      </c>
      <c r="S222" s="159" t="str">
        <f t="shared" si="118"/>
        <v>1+0.0317868807548735j</v>
      </c>
      <c r="T222" s="159" t="str">
        <f t="shared" si="119"/>
        <v>-483.579483784326+2.43175761977582j</v>
      </c>
      <c r="U222" s="159" t="str">
        <f t="shared" si="120"/>
        <v>-0.00206752954850298-0.0000761293907683156j</v>
      </c>
      <c r="V222" s="159" t="str">
        <f t="shared" si="121"/>
        <v>-0.066094850701394-0.00243370679778831j</v>
      </c>
      <c r="X222" s="159" t="str">
        <f t="shared" si="122"/>
        <v>-0.104703898120503-0.0768346378705463j</v>
      </c>
      <c r="Y222" s="159">
        <f t="shared" si="123"/>
        <v>-17.729758569632949</v>
      </c>
      <c r="Z222" s="159">
        <f t="shared" si="124"/>
        <v>36.272259005573034</v>
      </c>
      <c r="AB222" s="159" t="str">
        <f t="shared" si="125"/>
        <v>-0.0291102623657318-0.00107188143483299j</v>
      </c>
      <c r="AC222" s="159">
        <f t="shared" si="126"/>
        <v>-30.713193353640953</v>
      </c>
      <c r="AD222" s="159">
        <f t="shared" si="127"/>
        <v>2.1087597431809115</v>
      </c>
      <c r="AF222" s="159" t="str">
        <f t="shared" si="128"/>
        <v>-0.0321749554646634-0.00395850320248392j</v>
      </c>
      <c r="AG222" s="159">
        <f t="shared" si="129"/>
        <v>-29.784396383203351</v>
      </c>
      <c r="AH222" s="159">
        <f t="shared" si="130"/>
        <v>7.0138856857277858</v>
      </c>
      <c r="AJ222" s="159" t="str">
        <f t="shared" si="131"/>
        <v>4903.37229691711-27353.9407925489j</v>
      </c>
      <c r="AK222" s="159" t="str">
        <f t="shared" si="132"/>
        <v>30000-0.000817376933696747j</v>
      </c>
      <c r="AL222" s="159" t="str">
        <f t="shared" si="146"/>
        <v>10000-24468.5152901809j</v>
      </c>
      <c r="AM222" s="159" t="str">
        <f t="shared" si="147"/>
        <v>892.256693862327-7845.16337988359j</v>
      </c>
      <c r="AN222" s="159" t="str">
        <f t="shared" si="148"/>
        <v>10892.2566938623-7845.16337988359j</v>
      </c>
      <c r="AO222" s="159" t="str">
        <f t="shared" si="149"/>
        <v>8772.25720861343-4072.53415638488j</v>
      </c>
      <c r="AP222" s="159" t="str">
        <f t="shared" si="150"/>
        <v>0.532473921592095+0.417302363185919j</v>
      </c>
      <c r="AQ222" s="159" t="str">
        <f t="shared" si="133"/>
        <v>1+90.7288396403389j</v>
      </c>
      <c r="AR222" s="159">
        <f t="shared" si="134"/>
        <v>-1.2358943457180661E-3</v>
      </c>
      <c r="AS222" s="159" t="str">
        <f t="shared" si="135"/>
        <v>0.00247482663394922j</v>
      </c>
      <c r="AT222" s="159" t="str">
        <f t="shared" si="136"/>
        <v>-0.00123589434571807+0.00247482663394922j</v>
      </c>
      <c r="AU222" s="159" t="str">
        <f t="shared" si="137"/>
        <v>4.3772157967668-2.2465316062725j</v>
      </c>
      <c r="AW222" s="159" t="str">
        <f t="shared" si="151"/>
        <v>2.64344764298658-1.05528328570083j</v>
      </c>
      <c r="AX222" s="159">
        <f t="shared" si="138"/>
        <v>9.0856212634206415</v>
      </c>
      <c r="AY222" s="159">
        <f t="shared" si="139"/>
        <v>158.23776078114088</v>
      </c>
      <c r="AZ222" s="159" t="str">
        <f t="shared" si="140"/>
        <v>-0.0780825929998469+0.0278861108644523j</v>
      </c>
      <c r="BA222" s="159">
        <f t="shared" si="141"/>
        <v>-21.627572090220319</v>
      </c>
      <c r="BB222" s="159">
        <f t="shared" si="142"/>
        <v>-19.653479475678211</v>
      </c>
      <c r="BD222" s="159" t="str">
        <f t="shared" si="143"/>
        <v>-0.089230152452237+0.0234895967596669j</v>
      </c>
      <c r="BE222" s="159">
        <f t="shared" si="144"/>
        <v>-20.698775119782724</v>
      </c>
      <c r="BF222" s="159">
        <f t="shared" si="145"/>
        <v>-14.748353533131336</v>
      </c>
      <c r="BH222" s="159">
        <f t="shared" si="152"/>
        <v>21.698775119782724</v>
      </c>
      <c r="BI222" s="169">
        <f t="shared" si="153"/>
        <v>14.748353533131336</v>
      </c>
      <c r="BN222" s="165"/>
      <c r="BO222" s="165"/>
      <c r="BP222" s="165"/>
    </row>
    <row r="223" spans="1:68" s="159" customFormat="1">
      <c r="A223" s="159">
        <v>159</v>
      </c>
      <c r="B223" s="159">
        <f t="shared" si="103"/>
        <v>151356.12484362093</v>
      </c>
      <c r="C223" s="159" t="str">
        <f t="shared" si="104"/>
        <v>950998.579769078j</v>
      </c>
      <c r="D223" s="159">
        <f t="shared" si="105"/>
        <v>0.63346117555715598</v>
      </c>
      <c r="E223" s="159" t="str">
        <f t="shared" si="106"/>
        <v>-0.950998579769078j</v>
      </c>
      <c r="F223" s="159" t="str">
        <f t="shared" si="107"/>
        <v>0.633461175557156-0.950998579769078j</v>
      </c>
      <c r="G223" s="159">
        <f t="shared" si="108"/>
        <v>1.1583387782225865</v>
      </c>
      <c r="H223" s="159">
        <f t="shared" si="109"/>
        <v>-56.332373295946311</v>
      </c>
      <c r="J223" s="159">
        <f t="shared" si="110"/>
        <v>6.3936063936063938</v>
      </c>
      <c r="K223" s="159" t="str">
        <f t="shared" si="111"/>
        <v>1+233.027936993716j</v>
      </c>
      <c r="L223" s="159">
        <f t="shared" si="112"/>
        <v>-530.33083826783309</v>
      </c>
      <c r="M223" s="159" t="str">
        <f t="shared" si="113"/>
        <v>2.54636282560756j</v>
      </c>
      <c r="N223" s="159" t="str">
        <f t="shared" si="114"/>
        <v>-530.330838267833+2.54636282560756j</v>
      </c>
      <c r="O223" s="159" t="str">
        <f t="shared" si="115"/>
        <v>0.000224146508765353-0.439399992269906j</v>
      </c>
      <c r="P223" s="159" t="str">
        <f t="shared" si="116"/>
        <v>0.00143310455154671-2.80935059992747j</v>
      </c>
      <c r="R223" s="159">
        <f t="shared" si="117"/>
        <v>31.968031968031973</v>
      </c>
      <c r="S223" s="159" t="str">
        <f t="shared" si="118"/>
        <v>1+0.0332849502919177j</v>
      </c>
      <c r="T223" s="159" t="str">
        <f t="shared" si="119"/>
        <v>-530.330838267833+2.54636282560756j</v>
      </c>
      <c r="U223" s="159" t="str">
        <f t="shared" si="120"/>
        <v>-0.00188527059271884-0.0000718146683112434j</v>
      </c>
      <c r="V223" s="159" t="str">
        <f t="shared" si="121"/>
        <v>-0.0602683905764265-0.00229577361234744j</v>
      </c>
      <c r="X223" s="159" t="str">
        <f t="shared" si="122"/>
        <v>-0.104690365422346-0.0698114907922546j</v>
      </c>
      <c r="Y223" s="159">
        <f t="shared" si="123"/>
        <v>-18.004171254513889</v>
      </c>
      <c r="Z223" s="159">
        <f t="shared" si="124"/>
        <v>33.696854396490551</v>
      </c>
      <c r="AB223" s="159" t="str">
        <f t="shared" si="125"/>
        <v>-0.0265441050766027-0.00101113129810502j</v>
      </c>
      <c r="AC223" s="159">
        <f t="shared" si="126"/>
        <v>-31.514341030225598</v>
      </c>
      <c r="AD223" s="159">
        <f t="shared" si="127"/>
        <v>2.1814846967158985</v>
      </c>
      <c r="AF223" s="159" t="str">
        <f t="shared" si="128"/>
        <v>-0.0293812594707153-0.00342035951009762j</v>
      </c>
      <c r="AG223" s="159">
        <f t="shared" si="129"/>
        <v>-30.580131573145025</v>
      </c>
      <c r="AH223" s="159">
        <f t="shared" si="130"/>
        <v>6.6400837484361546</v>
      </c>
      <c r="AJ223" s="159" t="str">
        <f t="shared" si="131"/>
        <v>4484.21239718204-26194.5660726253j</v>
      </c>
      <c r="AK223" s="159" t="str">
        <f t="shared" si="132"/>
        <v>30000-0.000855898721792168j</v>
      </c>
      <c r="AL223" s="159" t="str">
        <f t="shared" si="146"/>
        <v>10000-23367.2506930749j</v>
      </c>
      <c r="AM223" s="159" t="str">
        <f t="shared" si="147"/>
        <v>885.96603982119-7513.38718096609j</v>
      </c>
      <c r="AN223" s="159" t="str">
        <f t="shared" si="148"/>
        <v>10885.9660398212-7513.38718096609j</v>
      </c>
      <c r="AO223" s="159" t="str">
        <f t="shared" si="149"/>
        <v>8706.62094281514-3912.96619865076j</v>
      </c>
      <c r="AP223" s="159" t="str">
        <f t="shared" si="150"/>
        <v>0.551654367190112+0.419042378594562j</v>
      </c>
      <c r="AQ223" s="159" t="str">
        <f t="shared" si="133"/>
        <v>1+95.0047581189309j</v>
      </c>
      <c r="AR223" s="159">
        <f t="shared" si="134"/>
        <v>-1.3551408506361205E-3</v>
      </c>
      <c r="AS223" s="159" t="str">
        <f t="shared" si="135"/>
        <v>0.00259146161988494j</v>
      </c>
      <c r="AT223" s="159" t="str">
        <f t="shared" si="136"/>
        <v>-0.00135514085063612+0.00259146161988494j</v>
      </c>
      <c r="AU223" s="159" t="str">
        <f t="shared" si="137"/>
        <v>4.29449985303274-2.30358502633758j</v>
      </c>
      <c r="AW223" s="159" t="str">
        <f t="shared" si="151"/>
        <v>2.58488160751176-1.20094078721291j</v>
      </c>
      <c r="AX223" s="159">
        <f t="shared" si="138"/>
        <v>9.0976305595011446</v>
      </c>
      <c r="AY223" s="159">
        <f t="shared" si="139"/>
        <v>155.08033166773038</v>
      </c>
      <c r="AZ223" s="159" t="str">
        <f t="shared" si="140"/>
        <v>-0.0698276778174918+0.0292642437513063j</v>
      </c>
      <c r="BA223" s="159">
        <f t="shared" si="141"/>
        <v>-22.416710470724439</v>
      </c>
      <c r="BB223" s="159">
        <f t="shared" si="142"/>
        <v>-22.738183635553696</v>
      </c>
      <c r="BD223" s="159" t="str">
        <f t="shared" si="143"/>
        <v>-0.0800547264539905+0.0264439284893383j</v>
      </c>
      <c r="BE223" s="159">
        <f t="shared" si="144"/>
        <v>-21.482501013643883</v>
      </c>
      <c r="BF223" s="159">
        <f t="shared" si="145"/>
        <v>-18.279584583833412</v>
      </c>
      <c r="BH223" s="159">
        <f t="shared" si="152"/>
        <v>22.482501013643883</v>
      </c>
      <c r="BI223" s="169">
        <f t="shared" si="153"/>
        <v>18.279584583833412</v>
      </c>
      <c r="BN223" s="165"/>
      <c r="BO223" s="165"/>
      <c r="BP223" s="165"/>
    </row>
    <row r="224" spans="1:68" s="159" customFormat="1">
      <c r="A224" s="159">
        <v>160</v>
      </c>
      <c r="B224" s="159">
        <f t="shared" si="103"/>
        <v>158489.31924611155</v>
      </c>
      <c r="C224" s="159" t="str">
        <f t="shared" si="104"/>
        <v>995817.762032063j</v>
      </c>
      <c r="D224" s="159">
        <f t="shared" si="105"/>
        <v>0.59809817095846629</v>
      </c>
      <c r="E224" s="159" t="str">
        <f t="shared" si="106"/>
        <v>-0.995817762032063j</v>
      </c>
      <c r="F224" s="159" t="str">
        <f t="shared" si="107"/>
        <v>0.598098170958466-0.995817762032063j</v>
      </c>
      <c r="G224" s="159">
        <f t="shared" si="108"/>
        <v>1.3013247856838785</v>
      </c>
      <c r="H224" s="159">
        <f t="shared" si="109"/>
        <v>-59.010548797139023</v>
      </c>
      <c r="J224" s="159">
        <f t="shared" si="110"/>
        <v>6.3936063936063938</v>
      </c>
      <c r="K224" s="159" t="str">
        <f t="shared" si="111"/>
        <v>1+244.010205319527j</v>
      </c>
      <c r="L224" s="159">
        <f t="shared" si="112"/>
        <v>-581.59267909916105</v>
      </c>
      <c r="M224" s="159" t="str">
        <f t="shared" si="113"/>
        <v>2.66636920838924j</v>
      </c>
      <c r="N224" s="159" t="str">
        <f t="shared" si="114"/>
        <v>-581.592679099161+2.66636920838924j</v>
      </c>
      <c r="O224" s="159" t="str">
        <f t="shared" si="115"/>
        <v>0.000204071423472817-0.419554217167448j</v>
      </c>
      <c r="P224" s="159" t="str">
        <f t="shared" si="116"/>
        <v>0.00130475235786816-2.68246452534632j</v>
      </c>
      <c r="R224" s="159">
        <f t="shared" si="117"/>
        <v>31.968031968031973</v>
      </c>
      <c r="S224" s="159" t="str">
        <f t="shared" si="118"/>
        <v>1+0.0348536216711222j</v>
      </c>
      <c r="T224" s="159" t="str">
        <f t="shared" si="119"/>
        <v>-581.592679099161+2.66636920838924j</v>
      </c>
      <c r="U224" s="159" t="str">
        <f t="shared" si="120"/>
        <v>-0.00171910553778348-0.0000678092987761207j</v>
      </c>
      <c r="V224" s="159" t="str">
        <f t="shared" si="121"/>
        <v>-0.0549564207882831-0.00216772983100486j</v>
      </c>
      <c r="X224" s="159" t="str">
        <f t="shared" si="122"/>
        <v>-0.104678011487433-0.0629399698498491j</v>
      </c>
      <c r="Y224" s="159">
        <f t="shared" si="123"/>
        <v>-18.262624433008192</v>
      </c>
      <c r="Z224" s="159">
        <f t="shared" si="124"/>
        <v>31.017319902265427</v>
      </c>
      <c r="AB224" s="159" t="str">
        <f t="shared" si="125"/>
        <v>-0.0242045456015341-0.00095473676767446j</v>
      </c>
      <c r="AC224" s="159">
        <f t="shared" si="126"/>
        <v>-32.315309513150254</v>
      </c>
      <c r="AD224" s="159">
        <f t="shared" si="127"/>
        <v>2.2588337226396504</v>
      </c>
      <c r="AF224" s="159" t="str">
        <f t="shared" si="128"/>
        <v>-0.0268269190616081-0.00295225882809793j</v>
      </c>
      <c r="AG224" s="159">
        <f t="shared" si="129"/>
        <v>-31.376304095698458</v>
      </c>
      <c r="AH224" s="159">
        <f t="shared" si="130"/>
        <v>6.2800369780344738</v>
      </c>
      <c r="AJ224" s="159" t="str">
        <f t="shared" si="131"/>
        <v>4099.92125492536-25078.4418047485j</v>
      </c>
      <c r="AK224" s="159" t="str">
        <f t="shared" si="132"/>
        <v>30000-0.000896235985828856j</v>
      </c>
      <c r="AL224" s="159" t="str">
        <f t="shared" si="146"/>
        <v>10000-22315.5511675908j</v>
      </c>
      <c r="AM224" s="159" t="str">
        <f t="shared" si="147"/>
        <v>879.169643893186-7197.22052528865j</v>
      </c>
      <c r="AN224" s="159" t="str">
        <f t="shared" si="148"/>
        <v>10879.1696438932-7197.22052528865j</v>
      </c>
      <c r="AO224" s="159" t="str">
        <f t="shared" si="149"/>
        <v>8645.82151277278-3759.63443116354j</v>
      </c>
      <c r="AP224" s="159" t="str">
        <f t="shared" si="150"/>
        <v>0.570954325784071+0.419902566365923j</v>
      </c>
      <c r="AQ224" s="159" t="str">
        <f t="shared" si="133"/>
        <v>1+99.4821944270031j</v>
      </c>
      <c r="AR224" s="159">
        <f t="shared" si="134"/>
        <v>-1.4858920432450511E-3</v>
      </c>
      <c r="AS224" s="159" t="str">
        <f t="shared" si="135"/>
        <v>0.00271359344335975j</v>
      </c>
      <c r="AT224" s="159" t="str">
        <f t="shared" si="136"/>
        <v>-0.00148589204324505+0.00271359344335975j</v>
      </c>
      <c r="AU224" s="159" t="str">
        <f t="shared" si="137"/>
        <v>4.20732382221579-2.3590965722779j</v>
      </c>
      <c r="AW224" s="159" t="str">
        <f t="shared" si="151"/>
        <v>2.51008022685965-1.34345123225867j</v>
      </c>
      <c r="AX224" s="159">
        <f t="shared" si="138"/>
        <v>9.0877252093885978</v>
      </c>
      <c r="AY224" s="159">
        <f t="shared" si="139"/>
        <v>151.84331151587921</v>
      </c>
      <c r="AZ224" s="159" t="str">
        <f t="shared" si="140"/>
        <v>-0.0620379936015483+0.0301211607322466j</v>
      </c>
      <c r="BA224" s="159">
        <f t="shared" si="141"/>
        <v>-23.22758430376167</v>
      </c>
      <c r="BB224" s="159">
        <f t="shared" si="142"/>
        <v>-25.897854761481142</v>
      </c>
      <c r="BD224" s="159" t="str">
        <f t="shared" si="143"/>
        <v>-0.0713039348446614+0.0286302509620406j</v>
      </c>
      <c r="BE224" s="159">
        <f t="shared" si="144"/>
        <v>-22.288578886309864</v>
      </c>
      <c r="BF224" s="159">
        <f t="shared" si="145"/>
        <v>-21.876651506086375</v>
      </c>
      <c r="BH224" s="159">
        <f t="shared" si="152"/>
        <v>23.288578886309864</v>
      </c>
      <c r="BI224" s="169">
        <f t="shared" si="153"/>
        <v>21.876651506086375</v>
      </c>
      <c r="BN224" s="165"/>
      <c r="BO224" s="165"/>
      <c r="BP224" s="165"/>
    </row>
    <row r="225" spans="1:68" s="159" customFormat="1">
      <c r="A225" s="159">
        <v>161</v>
      </c>
      <c r="B225" s="159">
        <f t="shared" si="103"/>
        <v>165958.69074375625</v>
      </c>
      <c r="C225" s="159" t="str">
        <f t="shared" si="104"/>
        <v>1042749.20727993j</v>
      </c>
      <c r="D225" s="159">
        <f t="shared" si="105"/>
        <v>0.55932340746589337</v>
      </c>
      <c r="E225" s="159" t="str">
        <f t="shared" si="106"/>
        <v>-1.04274920727993j</v>
      </c>
      <c r="F225" s="159" t="str">
        <f t="shared" si="107"/>
        <v>0.559323407465893-1.04274920727993j</v>
      </c>
      <c r="G225" s="159">
        <f t="shared" si="108"/>
        <v>1.4618032885123842</v>
      </c>
      <c r="H225" s="159">
        <f t="shared" si="109"/>
        <v>-61.791201235305543</v>
      </c>
      <c r="J225" s="159">
        <f t="shared" si="110"/>
        <v>6.3936063936063938</v>
      </c>
      <c r="K225" s="159" t="str">
        <f t="shared" si="111"/>
        <v>1+255.510052005838j</v>
      </c>
      <c r="L225" s="159">
        <f t="shared" si="112"/>
        <v>-637.80016986487203</v>
      </c>
      <c r="M225" s="159" t="str">
        <f t="shared" si="113"/>
        <v>2.79203131774825j</v>
      </c>
      <c r="N225" s="159" t="str">
        <f t="shared" si="114"/>
        <v>-637.800169864872+2.79203131774825j</v>
      </c>
      <c r="O225" s="159" t="str">
        <f t="shared" si="115"/>
        <v>0.000185822227830034-0.400610638342244j</v>
      </c>
      <c r="P225" s="159" t="str">
        <f t="shared" si="116"/>
        <v>0.00118807418392829-2.56134673865171j</v>
      </c>
      <c r="R225" s="159">
        <f t="shared" si="117"/>
        <v>31.968031968031973</v>
      </c>
      <c r="S225" s="159" t="str">
        <f t="shared" si="118"/>
        <v>1+0.0364962222547975j</v>
      </c>
      <c r="T225" s="159" t="str">
        <f t="shared" si="119"/>
        <v>-637.800169864872+2.79203131774825j</v>
      </c>
      <c r="U225" s="159" t="str">
        <f t="shared" si="120"/>
        <v>-0.00156760866744253-0.0000640843898754844j</v>
      </c>
      <c r="V225" s="159" t="str">
        <f t="shared" si="121"/>
        <v>-0.0501133639941668-0.00204865182419131j</v>
      </c>
      <c r="X225" s="159" t="str">
        <f t="shared" si="122"/>
        <v>-0.104666734622397-0.0562050404576194j</v>
      </c>
      <c r="Y225" s="159">
        <f t="shared" si="123"/>
        <v>-18.503458280072731</v>
      </c>
      <c r="Z225" s="159">
        <f t="shared" si="124"/>
        <v>28.235375264696813</v>
      </c>
      <c r="AB225" s="159" t="str">
        <f t="shared" si="125"/>
        <v>-0.0220715102374661-0.00090229104787109j</v>
      </c>
      <c r="AC225" s="159">
        <f t="shared" si="126"/>
        <v>-33.116107102416827</v>
      </c>
      <c r="AD225" s="159">
        <f t="shared" si="127"/>
        <v>2.3409679824726481</v>
      </c>
      <c r="AF225" s="159" t="str">
        <f t="shared" si="128"/>
        <v>-0.0244919453738056-0.00254526656901387j</v>
      </c>
      <c r="AG225" s="159">
        <f t="shared" si="129"/>
        <v>-32.172882428156512</v>
      </c>
      <c r="AH225" s="159">
        <f t="shared" si="130"/>
        <v>5.9330286539951373</v>
      </c>
      <c r="AJ225" s="159" t="str">
        <f t="shared" si="131"/>
        <v>3747.75673997697-24004.7079958147j</v>
      </c>
      <c r="AK225" s="159" t="str">
        <f t="shared" si="132"/>
        <v>30000-0.000938474286551936j</v>
      </c>
      <c r="AL225" s="159" t="str">
        <f t="shared" si="146"/>
        <v>10000-21311.1859180312j</v>
      </c>
      <c r="AM225" s="159" t="str">
        <f t="shared" si="147"/>
        <v>871.836392232633-6895.95288359263j</v>
      </c>
      <c r="AN225" s="159" t="str">
        <f t="shared" si="148"/>
        <v>10871.8363922326-6895.95288359263j</v>
      </c>
      <c r="AO225" s="159" t="str">
        <f t="shared" si="149"/>
        <v>8589.43943744932-3612.41950510171j</v>
      </c>
      <c r="AP225" s="159" t="str">
        <f t="shared" si="150"/>
        <v>0.590292579803811+0.419873852207826j</v>
      </c>
      <c r="AQ225" s="159" t="str">
        <f t="shared" si="133"/>
        <v>1+104.170645807265j</v>
      </c>
      <c r="AR225" s="159">
        <f t="shared" si="134"/>
        <v>-1.6292578750604558E-3</v>
      </c>
      <c r="AS225" s="159" t="str">
        <f t="shared" si="135"/>
        <v>0.00284148116234574j</v>
      </c>
      <c r="AT225" s="159" t="str">
        <f t="shared" si="136"/>
        <v>-0.00162925787506046+0.00284148116234574j</v>
      </c>
      <c r="AU225" s="159" t="str">
        <f t="shared" si="137"/>
        <v>4.11571656942121-2.41267256073829j</v>
      </c>
      <c r="AW225" s="159" t="str">
        <f t="shared" si="151"/>
        <v>2.41922302363922-1.48060310341723j</v>
      </c>
      <c r="AX225" s="159">
        <f t="shared" si="138"/>
        <v>9.0551663302051981</v>
      </c>
      <c r="AY225" s="159">
        <f t="shared" si="139"/>
        <v>148.53270243622688</v>
      </c>
      <c r="AZ225" s="159" t="str">
        <f t="shared" si="140"/>
        <v>-0.0547318406586303+0.0304963032776642j</v>
      </c>
      <c r="BA225" s="159">
        <f t="shared" si="141"/>
        <v>-24.06094077221162</v>
      </c>
      <c r="BB225" s="159">
        <f t="shared" si="142"/>
        <v>-29.126329581300496</v>
      </c>
      <c r="BD225" s="159" t="str">
        <f t="shared" si="143"/>
        <v>-0.0630200077231307+0.0301052828441243j</v>
      </c>
      <c r="BE225" s="159">
        <f t="shared" si="144"/>
        <v>-23.117716097951309</v>
      </c>
      <c r="BF225" s="159">
        <f t="shared" si="145"/>
        <v>-25.53426890977795</v>
      </c>
      <c r="BH225" s="159">
        <f t="shared" si="152"/>
        <v>24.117716097951309</v>
      </c>
      <c r="BI225" s="169">
        <f t="shared" si="153"/>
        <v>25.53426890977795</v>
      </c>
      <c r="BN225" s="165"/>
      <c r="BO225" s="165"/>
      <c r="BP225" s="165"/>
    </row>
    <row r="226" spans="1:68" s="159" customFormat="1">
      <c r="A226" s="159">
        <v>162</v>
      </c>
      <c r="B226" s="159">
        <f t="shared" si="103"/>
        <v>173780.08287493771</v>
      </c>
      <c r="C226" s="159" t="str">
        <f t="shared" si="104"/>
        <v>1091892.46340026j</v>
      </c>
      <c r="D226" s="159">
        <f t="shared" si="105"/>
        <v>0.51680772473567527</v>
      </c>
      <c r="E226" s="159" t="str">
        <f t="shared" si="106"/>
        <v>-1.09189246340026j</v>
      </c>
      <c r="F226" s="159" t="str">
        <f t="shared" si="107"/>
        <v>0.516807724735675-1.09189246340026j</v>
      </c>
      <c r="G226" s="159">
        <f t="shared" si="108"/>
        <v>1.6415034881289094</v>
      </c>
      <c r="H226" s="159">
        <f t="shared" si="109"/>
        <v>-64.671162211461777</v>
      </c>
      <c r="J226" s="159">
        <f t="shared" si="110"/>
        <v>6.3936063936063938</v>
      </c>
      <c r="K226" s="159" t="str">
        <f t="shared" si="111"/>
        <v>1+267.551869769283j</v>
      </c>
      <c r="L226" s="159">
        <f t="shared" si="112"/>
        <v>-699.43045794939826</v>
      </c>
      <c r="M226" s="159" t="str">
        <f t="shared" si="113"/>
        <v>2.92361569986636j</v>
      </c>
      <c r="N226" s="159" t="str">
        <f t="shared" si="114"/>
        <v>-699.430457949398+2.92361569986636j</v>
      </c>
      <c r="O226" s="159" t="str">
        <f t="shared" si="115"/>
        <v>0.000169228210764889-0.382527486428659j</v>
      </c>
      <c r="P226" s="159" t="str">
        <f t="shared" si="116"/>
        <v>0.00108197857032496-2.44573018296046j</v>
      </c>
      <c r="R226" s="159">
        <f t="shared" si="117"/>
        <v>31.968031968031973</v>
      </c>
      <c r="S226" s="159" t="str">
        <f t="shared" si="118"/>
        <v>1+0.0382162362190091j</v>
      </c>
      <c r="T226" s="159" t="str">
        <f t="shared" si="119"/>
        <v>-699.430457949398+2.92361569986636j</v>
      </c>
      <c r="U226" s="159" t="str">
        <f t="shared" si="120"/>
        <v>-0.00142948133828904-0.0000606143038531561j</v>
      </c>
      <c r="V226" s="159" t="str">
        <f t="shared" si="121"/>
        <v>-0.0456977051201292-0.0019377200032977j</v>
      </c>
      <c r="X226" s="159" t="str">
        <f t="shared" si="122"/>
        <v>-0.104656441738283-0.0495920173232106j</v>
      </c>
      <c r="Y226" s="159">
        <f t="shared" si="123"/>
        <v>-18.724954788737126</v>
      </c>
      <c r="Z226" s="159">
        <f t="shared" si="124"/>
        <v>25.35418514778118</v>
      </c>
      <c r="AB226" s="159" t="str">
        <f t="shared" si="125"/>
        <v>-0.0201267144330012-0.000853433165953623j</v>
      </c>
      <c r="AC226" s="159">
        <f t="shared" si="126"/>
        <v>-33.916740639153893</v>
      </c>
      <c r="AD226" s="159">
        <f t="shared" si="127"/>
        <v>2.4280586744660297</v>
      </c>
      <c r="AF226" s="159" t="str">
        <f t="shared" si="128"/>
        <v>-0.0223579316229805-0.00219157001824104j</v>
      </c>
      <c r="AG226" s="159">
        <f t="shared" si="129"/>
        <v>-32.969838319484651</v>
      </c>
      <c r="AH226" s="159">
        <f t="shared" si="130"/>
        <v>5.5983644833598873</v>
      </c>
      <c r="AJ226" s="159" t="str">
        <f t="shared" si="131"/>
        <v>3425.16613222863-22972.4161287541j</v>
      </c>
      <c r="AK226" s="159" t="str">
        <f t="shared" si="132"/>
        <v>30000-0.000982703217060233j</v>
      </c>
      <c r="AL226" s="159" t="str">
        <f t="shared" si="146"/>
        <v>10000-20352.0245510442j</v>
      </c>
      <c r="AM226" s="159" t="str">
        <f t="shared" si="147"/>
        <v>863.934975616543-6608.90130200311j</v>
      </c>
      <c r="AN226" s="159" t="str">
        <f t="shared" si="148"/>
        <v>10863.9349756165-6608.90130200311j</v>
      </c>
      <c r="AO226" s="159" t="str">
        <f t="shared" si="149"/>
        <v>8537.08215535941-3471.18573038735j</v>
      </c>
      <c r="AP226" s="159" t="str">
        <f t="shared" si="150"/>
        <v>0.609587265375859+0.418956539750486j</v>
      </c>
      <c r="AQ226" s="159" t="str">
        <f t="shared" si="133"/>
        <v>1+109.080057093686j</v>
      </c>
      <c r="AR226" s="159">
        <f t="shared" si="134"/>
        <v>-1.7864553837179896E-3</v>
      </c>
      <c r="AS226" s="159" t="str">
        <f t="shared" si="135"/>
        <v>0.00297539604384107j</v>
      </c>
      <c r="AT226" s="159" t="str">
        <f t="shared" si="136"/>
        <v>-0.00178645538371799+0.00297539604384107j</v>
      </c>
      <c r="AU226" s="159" t="str">
        <f t="shared" si="137"/>
        <v>4.0197493716865-2.46390826573203j</v>
      </c>
      <c r="AW226" s="159" t="str">
        <f t="shared" si="151"/>
        <v>2.31285421993937-1.61017857018201j</v>
      </c>
      <c r="AX226" s="159">
        <f t="shared" si="138"/>
        <v>8.9992822421218452</v>
      </c>
      <c r="AY226" s="159">
        <f t="shared" si="139"/>
        <v>145.15487381705159</v>
      </c>
      <c r="AZ226" s="159" t="str">
        <f t="shared" si="140"/>
        <v>-0.0479243362047825+0.0304337377688794j</v>
      </c>
      <c r="BA226" s="159">
        <f t="shared" si="141"/>
        <v>-24.917458397032057</v>
      </c>
      <c r="BB226" s="159">
        <f t="shared" si="142"/>
        <v>-32.417067508482376</v>
      </c>
      <c r="BD226" s="159" t="str">
        <f t="shared" si="143"/>
        <v>-0.0552394555817515+0.0309314804079365j</v>
      </c>
      <c r="BE226" s="159">
        <f t="shared" si="144"/>
        <v>-23.970556077362794</v>
      </c>
      <c r="BF226" s="159">
        <f t="shared" si="145"/>
        <v>-29.24676169958849</v>
      </c>
      <c r="BH226" s="159">
        <f t="shared" si="152"/>
        <v>24.970556077362794</v>
      </c>
      <c r="BI226" s="169">
        <f t="shared" si="153"/>
        <v>29.24676169958849</v>
      </c>
      <c r="BN226" s="165"/>
      <c r="BO226" s="165"/>
      <c r="BP226" s="165"/>
    </row>
    <row r="227" spans="1:68" s="159" customFormat="1">
      <c r="A227" s="159">
        <v>163</v>
      </c>
      <c r="B227" s="159">
        <f t="shared" si="103"/>
        <v>181970.08586099852</v>
      </c>
      <c r="C227" s="159" t="str">
        <f t="shared" si="104"/>
        <v>1143351.76982803j</v>
      </c>
      <c r="D227" s="159">
        <f t="shared" si="105"/>
        <v>0.47019020562785607</v>
      </c>
      <c r="E227" s="159" t="str">
        <f t="shared" si="106"/>
        <v>-1.14335176982803j</v>
      </c>
      <c r="F227" s="159" t="str">
        <f t="shared" si="107"/>
        <v>0.470190205627856-1.14335176982803j</v>
      </c>
      <c r="G227" s="159">
        <f t="shared" si="108"/>
        <v>1.8421773454601134</v>
      </c>
      <c r="H227" s="159">
        <f t="shared" si="109"/>
        <v>-67.645650953515016</v>
      </c>
      <c r="J227" s="159">
        <f t="shared" si="110"/>
        <v>6.3936063936063938</v>
      </c>
      <c r="K227" s="159" t="str">
        <f t="shared" si="111"/>
        <v>1+280.161200919811j</v>
      </c>
      <c r="L227" s="159">
        <f t="shared" si="112"/>
        <v>-767.00672505609509</v>
      </c>
      <c r="M227" s="159" t="str">
        <f t="shared" si="113"/>
        <v>3.06140146285987j</v>
      </c>
      <c r="N227" s="159" t="str">
        <f t="shared" si="114"/>
        <v>-767.006725056095+3.06140146285987j</v>
      </c>
      <c r="O227" s="159" t="str">
        <f t="shared" si="115"/>
        <v>0.000154135383439145-0.365265022974907j</v>
      </c>
      <c r="P227" s="159" t="str">
        <f t="shared" si="116"/>
        <v>0.000985480973037491-2.33536078625315j</v>
      </c>
      <c r="R227" s="159">
        <f t="shared" si="117"/>
        <v>31.968031968031973</v>
      </c>
      <c r="S227" s="159" t="str">
        <f t="shared" si="118"/>
        <v>1+0.040017311943981j</v>
      </c>
      <c r="T227" s="159" t="str">
        <f t="shared" si="119"/>
        <v>-767.006725056095+3.06140146285987j</v>
      </c>
      <c r="U227" s="159" t="str">
        <f t="shared" si="120"/>
        <v>-0.00130354052394836-0.0000573762541751835j</v>
      </c>
      <c r="V227" s="159" t="str">
        <f t="shared" si="121"/>
        <v>-0.0416716251412063-0.00183420592767819j</v>
      </c>
      <c r="X227" s="159" t="str">
        <f t="shared" si="122"/>
        <v>-0.104647047651921-0.0430865255472031j</v>
      </c>
      <c r="Y227" s="159">
        <f t="shared" si="123"/>
        <v>-18.925372201760634</v>
      </c>
      <c r="Z227" s="159">
        <f t="shared" si="124"/>
        <v>22.378526851270578</v>
      </c>
      <c r="AB227" s="159" t="str">
        <f t="shared" si="125"/>
        <v>-0.0183535014935945-0.000807842293626157j</v>
      </c>
      <c r="AC227" s="159">
        <f t="shared" si="126"/>
        <v>-34.717215566092769</v>
      </c>
      <c r="AD227" s="159">
        <f t="shared" si="127"/>
        <v>2.5202873389987985</v>
      </c>
      <c r="AF227" s="159" t="str">
        <f t="shared" si="128"/>
        <v>-0.0204079427779279-0.00188434028956807j</v>
      </c>
      <c r="AG227" s="159">
        <f t="shared" si="129"/>
        <v>-33.76714657672585</v>
      </c>
      <c r="AH227" s="159">
        <f t="shared" si="130"/>
        <v>5.2753718902646938</v>
      </c>
      <c r="AJ227" s="159" t="str">
        <f t="shared" si="131"/>
        <v>3129.77749312161-21980.5470361909j</v>
      </c>
      <c r="AK227" s="159" t="str">
        <f t="shared" si="132"/>
        <v>30000-0.00102901659284523j</v>
      </c>
      <c r="AL227" s="159" t="str">
        <f t="shared" si="146"/>
        <v>10000-19436.0325567735j</v>
      </c>
      <c r="AM227" s="159" t="str">
        <f t="shared" si="147"/>
        <v>855.434238290786-6335.40873323631j</v>
      </c>
      <c r="AN227" s="159" t="str">
        <f t="shared" si="148"/>
        <v>10855.4342382908-6335.40873323631j</v>
      </c>
      <c r="AO227" s="159" t="str">
        <f t="shared" si="149"/>
        <v>8488.38307994272-3335.78361552133j</v>
      </c>
      <c r="AP227" s="159" t="str">
        <f t="shared" si="150"/>
        <v>0.628757253771789+0.417160302743702j</v>
      </c>
      <c r="AQ227" s="159" t="str">
        <f t="shared" si="133"/>
        <v>1+114.22084180582j</v>
      </c>
      <c r="AR227" s="159">
        <f t="shared" si="134"/>
        <v>-1.958819024448982E-3</v>
      </c>
      <c r="AS227" s="159" t="str">
        <f t="shared" si="135"/>
        <v>0.00311562213926368j</v>
      </c>
      <c r="AT227" s="159" t="str">
        <f t="shared" si="136"/>
        <v>-0.00195881902444898+0.00311562213926368j</v>
      </c>
      <c r="AU227" s="159" t="str">
        <f t="shared" si="137"/>
        <v>3.91953908936848-2.51239315470276j</v>
      </c>
      <c r="AW227" s="159" t="str">
        <f t="shared" si="151"/>
        <v>2.19188901243945-1.73002331218283j</v>
      </c>
      <c r="AX227" s="159">
        <f t="shared" si="138"/>
        <v>8.9194748020295975</v>
      </c>
      <c r="AY227" s="159">
        <f t="shared" si="139"/>
        <v>141.71652642393821</v>
      </c>
      <c r="AZ227" s="159" t="str">
        <f t="shared" si="140"/>
        <v>-0.0416264242641413+0.0299812847969178j</v>
      </c>
      <c r="BA227" s="159">
        <f t="shared" si="141"/>
        <v>-25.797740764063178</v>
      </c>
      <c r="BB227" s="159">
        <f t="shared" si="142"/>
        <v>-35.763186237062996</v>
      </c>
      <c r="BD227" s="159" t="str">
        <f t="shared" si="143"/>
        <v>-0.0479918981704713+0.0311759519831072j</v>
      </c>
      <c r="BE227" s="159">
        <f t="shared" si="144"/>
        <v>-24.847671774696259</v>
      </c>
      <c r="BF227" s="159">
        <f t="shared" si="145"/>
        <v>-33.008101685797044</v>
      </c>
      <c r="BH227" s="159">
        <f t="shared" si="152"/>
        <v>25.847671774696259</v>
      </c>
      <c r="BI227" s="169">
        <f t="shared" si="153"/>
        <v>33.008101685797044</v>
      </c>
      <c r="BN227" s="165"/>
      <c r="BO227" s="165"/>
      <c r="BP227" s="165"/>
    </row>
    <row r="228" spans="1:68" s="159" customFormat="1">
      <c r="A228" s="159">
        <v>164</v>
      </c>
      <c r="B228" s="159">
        <f t="shared" si="103"/>
        <v>190546.07179632501</v>
      </c>
      <c r="C228" s="159" t="str">
        <f t="shared" si="104"/>
        <v>1197236.27865146j</v>
      </c>
      <c r="D228" s="159">
        <f t="shared" si="105"/>
        <v>0.41907511236783057</v>
      </c>
      <c r="E228" s="159" t="str">
        <f t="shared" si="106"/>
        <v>-1.19723627865146j</v>
      </c>
      <c r="F228" s="159" t="str">
        <f t="shared" si="107"/>
        <v>0.419075112367831-1.19723627865146j</v>
      </c>
      <c r="G228" s="159">
        <f t="shared" si="108"/>
        <v>2.0655568152784847</v>
      </c>
      <c r="H228" s="159">
        <f t="shared" si="109"/>
        <v>-70.708145485117413</v>
      </c>
      <c r="J228" s="159">
        <f t="shared" si="110"/>
        <v>6.3936063936063938</v>
      </c>
      <c r="K228" s="159" t="str">
        <f t="shared" si="111"/>
        <v>1+293.364791539361j</v>
      </c>
      <c r="L228" s="159">
        <f t="shared" si="112"/>
        <v>-841.1026285153556</v>
      </c>
      <c r="M228" s="159" t="str">
        <f t="shared" si="113"/>
        <v>3.20568086880538j</v>
      </c>
      <c r="N228" s="159" t="str">
        <f t="shared" si="114"/>
        <v>-841.102628515356+3.20568086880538j</v>
      </c>
      <c r="O228" s="159" t="str">
        <f t="shared" si="115"/>
        <v>0.000140404719121699-0.348785429388636j</v>
      </c>
      <c r="P228" s="159" t="str">
        <f t="shared" si="116"/>
        <v>0.000897692509869005-2.22999675133593j</v>
      </c>
      <c r="R228" s="159">
        <f t="shared" si="117"/>
        <v>31.968031968031973</v>
      </c>
      <c r="S228" s="159" t="str">
        <f t="shared" si="118"/>
        <v>1+0.0419032697528011j</v>
      </c>
      <c r="T228" s="159" t="str">
        <f t="shared" si="119"/>
        <v>-841.102628515356+3.20568086880538j</v>
      </c>
      <c r="U228" s="159" t="str">
        <f t="shared" si="120"/>
        <v>-0.00118870841380618-0.0000543499544808437j</v>
      </c>
      <c r="V228" s="159" t="str">
        <f t="shared" si="121"/>
        <v>-0.0380006685732245-0.00173746108230469j</v>
      </c>
      <c r="X228" s="159" t="str">
        <f t="shared" si="122"/>
        <v>-0.10463847443878-0.0366744633946463j</v>
      </c>
      <c r="Y228" s="159">
        <f t="shared" si="123"/>
        <v>-19.102987865442827</v>
      </c>
      <c r="Z228" s="159">
        <f t="shared" si="124"/>
        <v>19.314919117692853</v>
      </c>
      <c r="AB228" s="159" t="str">
        <f t="shared" si="125"/>
        <v>-0.0167366961344305-0.000765232804362339j</v>
      </c>
      <c r="AC228" s="159">
        <f t="shared" si="126"/>
        <v>-35.517535975974809</v>
      </c>
      <c r="AD228" s="159">
        <f t="shared" si="127"/>
        <v>2.6178461827659305</v>
      </c>
      <c r="AF228" s="159" t="str">
        <f t="shared" si="128"/>
        <v>-0.0186264102856707-0.00161761072506438j</v>
      </c>
      <c r="AG228" s="159">
        <f t="shared" si="129"/>
        <v>-34.564784872572233</v>
      </c>
      <c r="AH228" s="159">
        <f t="shared" si="130"/>
        <v>4.9633992730099408</v>
      </c>
      <c r="AJ228" s="159" t="str">
        <f t="shared" si="131"/>
        <v>2859.3906020206-21028.0266597539j</v>
      </c>
      <c r="AK228" s="159" t="str">
        <f t="shared" si="132"/>
        <v>30000-0.00107751265078631j</v>
      </c>
      <c r="AL228" s="159" t="str">
        <f t="shared" si="146"/>
        <v>10000-18561.2669933898j</v>
      </c>
      <c r="AM228" s="159" t="str">
        <f t="shared" si="147"/>
        <v>846.303587729868-6074.84245387435j</v>
      </c>
      <c r="AN228" s="159" t="str">
        <f t="shared" si="148"/>
        <v>10846.3035877299-6074.84245387435j</v>
      </c>
      <c r="AO228" s="159" t="str">
        <f t="shared" si="149"/>
        <v>8443.00060711318-3206.05210697647j</v>
      </c>
      <c r="AP228" s="159" t="str">
        <f t="shared" si="150"/>
        <v>0.647723506632536+0.414503937428419j</v>
      </c>
      <c r="AQ228" s="159" t="str">
        <f t="shared" si="133"/>
        <v>1+119.603904237281j</v>
      </c>
      <c r="AR228" s="159">
        <f t="shared" si="134"/>
        <v>-2.1478119983184213E-3</v>
      </c>
      <c r="AS228" s="159" t="str">
        <f t="shared" si="135"/>
        <v>0.00326245688696244j</v>
      </c>
      <c r="AT228" s="159" t="str">
        <f t="shared" si="136"/>
        <v>-0.00214781199831842+0.00326245688696244j</v>
      </c>
      <c r="AU228" s="159" t="str">
        <f t="shared" si="137"/>
        <v>3.81525061280226-2.55771687776619j</v>
      </c>
      <c r="AW228" s="159" t="str">
        <f t="shared" si="151"/>
        <v>2.05760457379033-1.83811847313115j</v>
      </c>
      <c r="AX228" s="159">
        <f t="shared" si="138"/>
        <v>8.8152251929565573</v>
      </c>
      <c r="AY228" s="159">
        <f t="shared" si="139"/>
        <v>138.22465082862573</v>
      </c>
      <c r="AZ228" s="159" t="str">
        <f t="shared" si="140"/>
        <v>-0.0358440910702875+0.0291894838256091j</v>
      </c>
      <c r="BA228" s="159">
        <f t="shared" si="141"/>
        <v>-26.702310783018245</v>
      </c>
      <c r="BB228" s="159">
        <f t="shared" si="142"/>
        <v>-39.157502988608343</v>
      </c>
      <c r="BD228" s="159" t="str">
        <f t="shared" si="143"/>
        <v>-0.0412991471531672+0.0309091456077067j</v>
      </c>
      <c r="BE228" s="159">
        <f t="shared" si="144"/>
        <v>-25.749559679615672</v>
      </c>
      <c r="BF228" s="159">
        <f t="shared" si="145"/>
        <v>-36.811949898364418</v>
      </c>
      <c r="BH228" s="159">
        <f t="shared" si="152"/>
        <v>26.749559679615672</v>
      </c>
      <c r="BI228" s="169">
        <f t="shared" si="153"/>
        <v>36.811949898364418</v>
      </c>
      <c r="BN228" s="165"/>
      <c r="BO228" s="165"/>
      <c r="BP228" s="165"/>
    </row>
    <row r="229" spans="1:68" s="159" customFormat="1">
      <c r="A229" s="159">
        <v>165</v>
      </c>
      <c r="B229" s="159">
        <f t="shared" si="103"/>
        <v>199526.23149688821</v>
      </c>
      <c r="C229" s="159" t="str">
        <f t="shared" si="104"/>
        <v>1253660.28613816j</v>
      </c>
      <c r="D229" s="159">
        <f t="shared" si="105"/>
        <v>0.36302852711440492</v>
      </c>
      <c r="E229" s="159" t="str">
        <f t="shared" si="106"/>
        <v>-1.25366028613816j</v>
      </c>
      <c r="F229" s="159" t="str">
        <f t="shared" si="107"/>
        <v>0.363028527114405-1.25366028613816j</v>
      </c>
      <c r="G229" s="159">
        <f t="shared" si="108"/>
        <v>2.3133036565865712</v>
      </c>
      <c r="H229" s="159">
        <f t="shared" si="109"/>
        <v>-73.85031155141219</v>
      </c>
      <c r="J229" s="159">
        <f t="shared" si="110"/>
        <v>6.3936063936063938</v>
      </c>
      <c r="K229" s="159" t="str">
        <f t="shared" si="111"/>
        <v>1+307.190648213864j</v>
      </c>
      <c r="L229" s="159">
        <f t="shared" si="112"/>
        <v>-922.34717108193945</v>
      </c>
      <c r="M229" s="159" t="str">
        <f t="shared" si="113"/>
        <v>3.35675995366671j</v>
      </c>
      <c r="N229" s="159" t="str">
        <f t="shared" si="114"/>
        <v>-922.347171081939+3.35675995366671j</v>
      </c>
      <c r="O229" s="159" t="str">
        <f t="shared" si="115"/>
        <v>0.000127910597117611-0.333052703450428j</v>
      </c>
      <c r="P229" s="159" t="str">
        <f t="shared" si="116"/>
        <v>0.000817810011541169-2.12940789418855j</v>
      </c>
      <c r="R229" s="159">
        <f t="shared" si="117"/>
        <v>31.968031968031973</v>
      </c>
      <c r="S229" s="159" t="str">
        <f t="shared" si="118"/>
        <v>1+0.0438781100148356j</v>
      </c>
      <c r="T229" s="159" t="str">
        <f t="shared" si="119"/>
        <v>-922.347171081939+3.35675995366671j</v>
      </c>
      <c r="U229" s="159" t="str">
        <f t="shared" si="120"/>
        <v>-0.00108400296558021-0.0000515173128396031j</v>
      </c>
      <c r="V229" s="159" t="str">
        <f t="shared" si="121"/>
        <v>-0.0346534414571096-0.00164690710376354j</v>
      </c>
      <c r="X229" s="159" t="str">
        <f t="shared" si="122"/>
        <v>-0.104630650834473-0.0303419665260364j</v>
      </c>
      <c r="Y229" s="159">
        <f t="shared" si="123"/>
        <v>-19.256148499469091</v>
      </c>
      <c r="Z229" s="159">
        <f t="shared" si="124"/>
        <v>16.171693185176224</v>
      </c>
      <c r="AB229" s="159" t="str">
        <f t="shared" si="125"/>
        <v>-0.0152624714631621-0.00072534996862521j</v>
      </c>
      <c r="AC229" s="159">
        <f t="shared" si="126"/>
        <v>-36.317704648372946</v>
      </c>
      <c r="AD229" s="159">
        <f t="shared" si="127"/>
        <v>2.7209384212869452</v>
      </c>
      <c r="AF229" s="159" t="str">
        <f t="shared" si="128"/>
        <v>-0.0169990321390027-0.00138616989058043j</v>
      </c>
      <c r="AG229" s="159">
        <f t="shared" si="129"/>
        <v>-35.362733573148091</v>
      </c>
      <c r="AH229" s="159">
        <f t="shared" si="130"/>
        <v>4.661815238673455</v>
      </c>
      <c r="AJ229" s="159" t="str">
        <f t="shared" si="131"/>
        <v>2611.96766105036-20113.7398698765j</v>
      </c>
      <c r="AK229" s="159" t="str">
        <f t="shared" si="132"/>
        <v>30000-0.00112829425752434j</v>
      </c>
      <c r="AL229" s="159" t="str">
        <f t="shared" si="146"/>
        <v>10000-17725.8723658518j</v>
      </c>
      <c r="AM229" s="159" t="str">
        <f t="shared" si="147"/>
        <v>836.513467376074-5826.59257615475j</v>
      </c>
      <c r="AN229" s="159" t="str">
        <f t="shared" si="148"/>
        <v>10836.5134673761-5826.59257615475j</v>
      </c>
      <c r="AO229" s="159" t="str">
        <f t="shared" si="149"/>
        <v>8400.61710916712-3081.82055870659j</v>
      </c>
      <c r="AP229" s="159" t="str">
        <f t="shared" si="150"/>
        <v>0.666410357277924+0.411014886798788j</v>
      </c>
      <c r="AQ229" s="159" t="str">
        <f t="shared" si="133"/>
        <v>1+125.240662585202j</v>
      </c>
      <c r="AR229" s="159">
        <f t="shared" si="134"/>
        <v>-2.3550386733904552E-3</v>
      </c>
      <c r="AS229" s="159" t="str">
        <f t="shared" si="135"/>
        <v>0.00341621174312362j</v>
      </c>
      <c r="AT229" s="159" t="str">
        <f t="shared" si="136"/>
        <v>-0.00235503867339046+0.00341621174312362j</v>
      </c>
      <c r="AU229" s="159" t="str">
        <f t="shared" si="137"/>
        <v>3.70709840476294-2.59947590402024j</v>
      </c>
      <c r="AW229" s="159" t="str">
        <f t="shared" si="151"/>
        <v>1.91161516246379-1.93265098951367j</v>
      </c>
      <c r="AX229" s="159">
        <f t="shared" si="138"/>
        <v>8.6860990365409041</v>
      </c>
      <c r="AY229" s="159">
        <f t="shared" si="139"/>
        <v>134.68648058395644</v>
      </c>
      <c r="AZ229" s="159" t="str">
        <f t="shared" si="140"/>
        <v>-0.0305778202002588+0.0281104405775878j</v>
      </c>
      <c r="BA229" s="159">
        <f t="shared" si="141"/>
        <v>-27.63160561183205</v>
      </c>
      <c r="BB229" s="159">
        <f t="shared" si="142"/>
        <v>-42.592580994756645</v>
      </c>
      <c r="BD229" s="159" t="str">
        <f t="shared" si="143"/>
        <v>-0.0351745901947911+0.0302033729036339j</v>
      </c>
      <c r="BE229" s="159">
        <f t="shared" si="144"/>
        <v>-26.676634536607203</v>
      </c>
      <c r="BF229" s="159">
        <f t="shared" si="145"/>
        <v>-40.651704177370164</v>
      </c>
      <c r="BH229" s="159">
        <f t="shared" si="152"/>
        <v>27.676634536607203</v>
      </c>
      <c r="BI229" s="169">
        <f t="shared" si="153"/>
        <v>40.651704177370164</v>
      </c>
      <c r="BN229" s="165"/>
      <c r="BO229" s="165"/>
      <c r="BP229" s="165"/>
    </row>
    <row r="230" spans="1:68" s="159" customFormat="1">
      <c r="A230" s="159">
        <v>166</v>
      </c>
      <c r="B230" s="159">
        <f t="shared" si="103"/>
        <v>208929.61308540421</v>
      </c>
      <c r="C230" s="159" t="str">
        <f t="shared" si="104"/>
        <v>1312743.47517293j</v>
      </c>
      <c r="D230" s="159">
        <f t="shared" si="105"/>
        <v>0.30157466841573044</v>
      </c>
      <c r="E230" s="159" t="str">
        <f t="shared" si="106"/>
        <v>-1.31274347517293j</v>
      </c>
      <c r="F230" s="159" t="str">
        <f t="shared" si="107"/>
        <v>0.30157466841573-1.31274347517293j</v>
      </c>
      <c r="G230" s="159">
        <f t="shared" si="108"/>
        <v>2.5869538720862959</v>
      </c>
      <c r="H230" s="159">
        <f t="shared" si="109"/>
        <v>-77.062007334751058</v>
      </c>
      <c r="J230" s="159">
        <f t="shared" si="110"/>
        <v>6.3936063936063938</v>
      </c>
      <c r="K230" s="159" t="str">
        <f t="shared" si="111"/>
        <v>1+321.668097438999j</v>
      </c>
      <c r="L230" s="159">
        <f t="shared" si="112"/>
        <v>-1011.4300405618443</v>
      </c>
      <c r="M230" s="159" t="str">
        <f t="shared" si="113"/>
        <v>3.51495917643843j</v>
      </c>
      <c r="N230" s="159" t="str">
        <f t="shared" si="114"/>
        <v>-1011.43004056184+3.51495917643843j</v>
      </c>
      <c r="O230" s="159" t="str">
        <f t="shared" si="115"/>
        <v>0.000116539424376635-0.318032562715852j</v>
      </c>
      <c r="P230" s="159" t="str">
        <f t="shared" si="116"/>
        <v>0.000745107208801662-2.0333750263551j</v>
      </c>
      <c r="R230" s="159">
        <f t="shared" si="117"/>
        <v>31.968031968031973</v>
      </c>
      <c r="S230" s="159" t="str">
        <f t="shared" si="118"/>
        <v>1+0.0459460216310525j</v>
      </c>
      <c r="T230" s="159" t="str">
        <f t="shared" si="119"/>
        <v>-1011.43004056184+3.51495917643843j</v>
      </c>
      <c r="U230" s="159" t="str">
        <f t="shared" si="120"/>
        <v>-0.000988529321245267-0.0000488621653085262j</v>
      </c>
      <c r="V230" s="159" t="str">
        <f t="shared" si="121"/>
        <v>-0.0316013369429056-0.00156202726261023j</v>
      </c>
      <c r="X230" s="159" t="str">
        <f t="shared" si="122"/>
        <v>-0.104623511682068-0.0240753734960769j</v>
      </c>
      <c r="Y230" s="159">
        <f t="shared" si="123"/>
        <v>-19.383325830476064</v>
      </c>
      <c r="Z230" s="159">
        <f t="shared" si="124"/>
        <v>12.958988052663898</v>
      </c>
      <c r="AB230" s="159" t="str">
        <f t="shared" si="125"/>
        <v>-0.0139182281184345-0.00068796620242688j</v>
      </c>
      <c r="AC230" s="159">
        <f t="shared" si="126"/>
        <v>-37.117723075316768</v>
      </c>
      <c r="AD230" s="159">
        <f t="shared" si="127"/>
        <v>2.8297786392283513</v>
      </c>
      <c r="AF230" s="159" t="str">
        <f t="shared" si="128"/>
        <v>-0.0155126784394658-0.00118546750292226j</v>
      </c>
      <c r="AG230" s="159">
        <f t="shared" si="129"/>
        <v>-36.160975585102797</v>
      </c>
      <c r="AH230" s="159">
        <f t="shared" si="130"/>
        <v>4.3700078242085567</v>
      </c>
      <c r="AJ230" s="159" t="str">
        <f t="shared" si="131"/>
        <v>2385.62393412522-19236.5425185934j</v>
      </c>
      <c r="AK230" s="159" t="str">
        <f t="shared" si="132"/>
        <v>30000-0.00118146912765564j</v>
      </c>
      <c r="AL230" s="159" t="str">
        <f t="shared" si="146"/>
        <v>10000-16928.0766901507j</v>
      </c>
      <c r="AM230" s="159" t="str">
        <f t="shared" si="147"/>
        <v>826.035892639074-5590.07066435315j</v>
      </c>
      <c r="AN230" s="159" t="str">
        <f t="shared" si="148"/>
        <v>10826.0358926391-5590.07066435315j</v>
      </c>
      <c r="AO230" s="159" t="str">
        <f t="shared" si="149"/>
        <v>8360.93794252443-2962.91046336582j</v>
      </c>
      <c r="AP230" s="159" t="str">
        <f t="shared" si="150"/>
        <v>0.684746674855862+0.406728558932856j</v>
      </c>
      <c r="AQ230" s="159" t="str">
        <f t="shared" si="133"/>
        <v>1+131.143073169776j</v>
      </c>
      <c r="AR230" s="159">
        <f t="shared" si="134"/>
        <v>-2.5822582042662372E-3</v>
      </c>
      <c r="AS230" s="159" t="str">
        <f t="shared" si="135"/>
        <v>0.00357721284241148j</v>
      </c>
      <c r="AT230" s="159" t="str">
        <f t="shared" si="136"/>
        <v>-0.00258225820426624+0.00357721284241148j</v>
      </c>
      <c r="AU230" s="159" t="str">
        <f t="shared" si="137"/>
        <v>3.59534697475381-2.63728065349953j</v>
      </c>
      <c r="AW230" s="159" t="str">
        <f t="shared" si="151"/>
        <v>1.75583174923776-2.0120783690175j</v>
      </c>
      <c r="AX230" s="159">
        <f t="shared" si="138"/>
        <v>8.531750704169669</v>
      </c>
      <c r="AY230" s="159">
        <f t="shared" si="139"/>
        <v>131.1094407051304</v>
      </c>
      <c r="AZ230" s="159" t="str">
        <f t="shared" si="140"/>
        <v>-0.0258223087379993+0.0267966128315296j</v>
      </c>
      <c r="BA230" s="159">
        <f t="shared" si="141"/>
        <v>-28.585972371147086</v>
      </c>
      <c r="BB230" s="159">
        <f t="shared" si="142"/>
        <v>-46.060780655641253</v>
      </c>
      <c r="BD230" s="159" t="str">
        <f t="shared" si="143"/>
        <v>-0.0296229068395332+0.0291312432542528j</v>
      </c>
      <c r="BE230" s="159">
        <f t="shared" si="144"/>
        <v>-27.629224880933123</v>
      </c>
      <c r="BF230" s="159">
        <f t="shared" si="145"/>
        <v>-44.520551470661104</v>
      </c>
      <c r="BH230" s="159">
        <f t="shared" si="152"/>
        <v>28.629224880933123</v>
      </c>
      <c r="BI230" s="169">
        <f t="shared" si="153"/>
        <v>44.520551470661104</v>
      </c>
      <c r="BN230" s="165"/>
      <c r="BO230" s="165"/>
      <c r="BP230" s="165"/>
    </row>
    <row r="231" spans="1:68" s="159" customFormat="1">
      <c r="A231" s="159">
        <v>167</v>
      </c>
      <c r="B231" s="159">
        <f t="shared" si="103"/>
        <v>218776.16239495529</v>
      </c>
      <c r="C231" s="159" t="str">
        <f t="shared" si="104"/>
        <v>1374611.16912112j</v>
      </c>
      <c r="D231" s="159">
        <f t="shared" si="105"/>
        <v>0.23419185228377737</v>
      </c>
      <c r="E231" s="159" t="str">
        <f t="shared" si="106"/>
        <v>-1.37461116912112j</v>
      </c>
      <c r="F231" s="159" t="str">
        <f t="shared" si="107"/>
        <v>0.234191852283777-1.37461116912112j</v>
      </c>
      <c r="G231" s="159">
        <f t="shared" si="108"/>
        <v>2.887859898634435</v>
      </c>
      <c r="H231" s="159">
        <f t="shared" si="109"/>
        <v>-80.331378395014298</v>
      </c>
      <c r="J231" s="159">
        <f t="shared" si="110"/>
        <v>6.3936063936063938</v>
      </c>
      <c r="K231" s="159" t="str">
        <f t="shared" si="111"/>
        <v>1+336.827847825594j</v>
      </c>
      <c r="L231" s="159">
        <f t="shared" si="112"/>
        <v>-1109.1074645964184</v>
      </c>
      <c r="M231" s="159" t="str">
        <f t="shared" si="113"/>
        <v>3.68061409888215j</v>
      </c>
      <c r="N231" s="159" t="str">
        <f t="shared" si="114"/>
        <v>-1109.10746459642+3.68061409888215j</v>
      </c>
      <c r="O231" s="159" t="str">
        <f t="shared" si="115"/>
        <v>0.000106188412178677-0.303692354202657j</v>
      </c>
      <c r="P231" s="159" t="str">
        <f t="shared" si="116"/>
        <v>0.0006789269110325-1.94168937751949j</v>
      </c>
      <c r="R231" s="159">
        <f t="shared" si="117"/>
        <v>31.968031968031973</v>
      </c>
      <c r="S231" s="159" t="str">
        <f t="shared" si="118"/>
        <v>1+0.0481113909192392j</v>
      </c>
      <c r="T231" s="159" t="str">
        <f t="shared" si="119"/>
        <v>-1109.10746459642+3.68061409888215j</v>
      </c>
      <c r="U231" s="159" t="str">
        <f t="shared" si="120"/>
        <v>-0.000901472004904031-0.0000463700435998333j</v>
      </c>
      <c r="V231" s="159" t="str">
        <f t="shared" si="121"/>
        <v>-0.0288182858710579-0.00148235903615851j</v>
      </c>
      <c r="X231" s="159" t="str">
        <f t="shared" si="122"/>
        <v>-0.104616997422357-0.017861192346725j</v>
      </c>
      <c r="Y231" s="159">
        <f t="shared" si="123"/>
        <v>-19.483174468089143</v>
      </c>
      <c r="Z231" s="159">
        <f t="shared" si="124"/>
        <v>9.6886555225963775</v>
      </c>
      <c r="AB231" s="159" t="str">
        <f t="shared" si="125"/>
        <v>-0.0126924844179951-0.000652877796149971j</v>
      </c>
      <c r="AC231" s="159">
        <f t="shared" si="126"/>
        <v>-37.91759147599965</v>
      </c>
      <c r="AD231" s="159">
        <f t="shared" si="127"/>
        <v>2.9445931679722719</v>
      </c>
      <c r="AF231" s="159" t="str">
        <f t="shared" si="128"/>
        <v>-0.0141553024990786-0.00101153179611934j</v>
      </c>
      <c r="AG231" s="159">
        <f t="shared" si="129"/>
        <v>-36.95949622114918</v>
      </c>
      <c r="AH231" s="159">
        <f t="shared" si="130"/>
        <v>4.0873837120722101</v>
      </c>
      <c r="AJ231" s="159" t="str">
        <f t="shared" si="131"/>
        <v>2178.61845305393-18395.2718923099j</v>
      </c>
      <c r="AK231" s="159" t="str">
        <f t="shared" si="132"/>
        <v>29999.9999999999-0.00123715005220901j</v>
      </c>
      <c r="AL231" s="159" t="str">
        <f t="shared" si="146"/>
        <v>10000-16166.1877346962j</v>
      </c>
      <c r="AM231" s="159" t="str">
        <f t="shared" si="147"/>
        <v>814.845048148208-5364.70846727081j</v>
      </c>
      <c r="AN231" s="159" t="str">
        <f t="shared" si="148"/>
        <v>10814.8450481482-5364.70846727081j</v>
      </c>
      <c r="AO231" s="159" t="str">
        <f t="shared" si="149"/>
        <v>8323.69049049959-2849.13697723342j</v>
      </c>
      <c r="AP231" s="159" t="str">
        <f t="shared" si="150"/>
        <v>0.702666874976902+0.401687470390684j</v>
      </c>
      <c r="AQ231" s="159" t="str">
        <f t="shared" si="133"/>
        <v>1+137.3236557952j</v>
      </c>
      <c r="AR231" s="159">
        <f t="shared" si="134"/>
        <v>-2.8313994656093866E-3</v>
      </c>
      <c r="AS231" s="159" t="str">
        <f t="shared" si="135"/>
        <v>0.00374580168974336j</v>
      </c>
      <c r="AT231" s="159" t="str">
        <f t="shared" si="136"/>
        <v>-0.00283139946560939+0.00374580168974336j</v>
      </c>
      <c r="AU231" s="159" t="str">
        <f t="shared" si="137"/>
        <v>3.48031014893241-2.67076292993172j</v>
      </c>
      <c r="AW231" s="159" t="str">
        <f t="shared" si="151"/>
        <v>1.59240763771477-2.07518413232932j</v>
      </c>
      <c r="AX231" s="159">
        <f t="shared" si="138"/>
        <v>8.351926714292107</v>
      </c>
      <c r="AY231" s="159">
        <f t="shared" si="139"/>
        <v>127.50109215451829</v>
      </c>
      <c r="AZ231" s="159" t="str">
        <f t="shared" si="140"/>
        <v>-0.0215664507717117+0.025299594674977j</v>
      </c>
      <c r="BA231" s="159">
        <f t="shared" si="141"/>
        <v>-29.565664761707534</v>
      </c>
      <c r="BB231" s="159">
        <f t="shared" si="142"/>
        <v>-49.55431467750941</v>
      </c>
      <c r="BD231" s="159" t="str">
        <f t="shared" si="143"/>
        <v>-0.0246401265463492+0.0277640881764777j</v>
      </c>
      <c r="BE231" s="159">
        <f t="shared" si="144"/>
        <v>-28.607569506857065</v>
      </c>
      <c r="BF231" s="159">
        <f t="shared" si="145"/>
        <v>-48.411524133409472</v>
      </c>
      <c r="BH231" s="159">
        <f t="shared" si="152"/>
        <v>29.607569506857065</v>
      </c>
      <c r="BI231" s="169">
        <f t="shared" si="153"/>
        <v>48.411524133409472</v>
      </c>
      <c r="BN231" s="165"/>
      <c r="BO231" s="165"/>
      <c r="BP231" s="165"/>
    </row>
    <row r="232" spans="1:68" s="159" customFormat="1">
      <c r="A232" s="159">
        <v>168</v>
      </c>
      <c r="B232" s="159">
        <f t="shared" si="103"/>
        <v>229086.7652767775</v>
      </c>
      <c r="C232" s="159" t="str">
        <f t="shared" si="104"/>
        <v>1439394.59765635j</v>
      </c>
      <c r="D232" s="159">
        <f t="shared" si="105"/>
        <v>0.1603080636003571</v>
      </c>
      <c r="E232" s="159" t="str">
        <f t="shared" si="106"/>
        <v>-1.43939459765635j</v>
      </c>
      <c r="F232" s="159" t="str">
        <f t="shared" si="107"/>
        <v>0.160308063600357-1.43939459765635j</v>
      </c>
      <c r="G232" s="159">
        <f t="shared" si="108"/>
        <v>3.2171345729558305</v>
      </c>
      <c r="H232" s="159">
        <f t="shared" si="109"/>
        <v>-83.645050666113988</v>
      </c>
      <c r="J232" s="159">
        <f t="shared" si="110"/>
        <v>6.3936063936063938</v>
      </c>
      <c r="K232" s="159" t="str">
        <f t="shared" si="111"/>
        <v>1+352.702055236724j</v>
      </c>
      <c r="L232" s="159">
        <f t="shared" si="112"/>
        <v>-1216.2086303057731</v>
      </c>
      <c r="M232" s="159" t="str">
        <f t="shared" si="113"/>
        <v>3.85407609729815j</v>
      </c>
      <c r="N232" s="159" t="str">
        <f t="shared" si="114"/>
        <v>-1216.20863030577+3.85407609729815j</v>
      </c>
      <c r="O232" s="159" t="str">
        <f t="shared" si="115"/>
        <v>0.0000967644884815573-0.290000969825669j</v>
      </c>
      <c r="P232" s="159" t="str">
        <f t="shared" si="116"/>
        <v>0.000618674052229737-1.85415205482945j</v>
      </c>
      <c r="R232" s="159">
        <f t="shared" si="117"/>
        <v>31.968031968031973</v>
      </c>
      <c r="S232" s="159" t="str">
        <f t="shared" si="118"/>
        <v>1+0.0503788109179722j</v>
      </c>
      <c r="T232" s="159" t="str">
        <f t="shared" si="119"/>
        <v>-1216.20863030577+3.85407609729815j</v>
      </c>
      <c r="U232" s="159" t="str">
        <f t="shared" si="120"/>
        <v>-0.000822087829283622-0.0000440279723695362j</v>
      </c>
      <c r="V232" s="159" t="str">
        <f t="shared" si="121"/>
        <v>-0.0262805300070688-0.00140748762819696j</v>
      </c>
      <c r="X232" s="159" t="str">
        <f t="shared" si="122"/>
        <v>-0.104611053624263-0.0116860681365669j</v>
      </c>
      <c r="Y232" s="159">
        <f t="shared" si="123"/>
        <v>-19.554587999758628</v>
      </c>
      <c r="Z232" s="159">
        <f t="shared" si="124"/>
        <v>6.3740671892308569</v>
      </c>
      <c r="AB232" s="159" t="str">
        <f t="shared" si="125"/>
        <v>-0.0115747764840647-0.00061990206042588j</v>
      </c>
      <c r="AC232" s="159">
        <f t="shared" si="126"/>
        <v>-38.71730880076931</v>
      </c>
      <c r="AD232" s="159">
        <f t="shared" si="127"/>
        <v>3.0656204797778628</v>
      </c>
      <c r="AF232" s="159" t="str">
        <f t="shared" si="128"/>
        <v>-0.0129158574382335-0.00086089699187306j</v>
      </c>
      <c r="AG232" s="159">
        <f t="shared" si="129"/>
        <v>-37.75828308325751</v>
      </c>
      <c r="AH232" s="159">
        <f t="shared" si="130"/>
        <v>3.8133674476815145</v>
      </c>
      <c r="AJ232" s="159" t="str">
        <f t="shared" si="131"/>
        <v>1989.3448953701-17588.7557237019j</v>
      </c>
      <c r="AK232" s="159" t="str">
        <f t="shared" si="132"/>
        <v>29999.9999999999-0.00129545513789071j</v>
      </c>
      <c r="AL232" s="159" t="str">
        <f t="shared" si="146"/>
        <v>10000-15438.5894308655j</v>
      </c>
      <c r="AM232" s="159" t="str">
        <f t="shared" si="147"/>
        <v>802.917941442137-5149.95677942235j</v>
      </c>
      <c r="AN232" s="159" t="str">
        <f t="shared" si="148"/>
        <v>10802.9179414421-5149.95677942235j</v>
      </c>
      <c r="AO232" s="159" t="str">
        <f t="shared" si="149"/>
        <v>8288.62325638651-2740.31027067692j</v>
      </c>
      <c r="AP232" s="159" t="str">
        <f t="shared" si="150"/>
        <v>0.720111749207939+0.395940252275583j</v>
      </c>
      <c r="AQ232" s="159" t="str">
        <f t="shared" si="133"/>
        <v>1+143.795520305869j</v>
      </c>
      <c r="AR232" s="159">
        <f t="shared" si="134"/>
        <v>-3.1045774264317925E-3</v>
      </c>
      <c r="AS232" s="159" t="str">
        <f t="shared" si="135"/>
        <v>0.00392233588466758j</v>
      </c>
      <c r="AT232" s="159" t="str">
        <f t="shared" si="136"/>
        <v>-0.00310457742643179+0.00392233588466758j</v>
      </c>
      <c r="AU232" s="159" t="str">
        <f t="shared" si="137"/>
        <v>3.36234903954752-2.69958342154096j</v>
      </c>
      <c r="AW232" s="159" t="str">
        <f t="shared" si="151"/>
        <v>1.42367256855504-2.12112058764147j</v>
      </c>
      <c r="AX232" s="159">
        <f t="shared" si="138"/>
        <v>8.1464681189456183</v>
      </c>
      <c r="AY232" s="159">
        <f t="shared" si="139"/>
        <v>123.86907315424874</v>
      </c>
      <c r="AZ232" s="159" t="str">
        <f t="shared" si="140"/>
        <v>-0.0177935787902095+0.0236689591390788j</v>
      </c>
      <c r="BA232" s="159">
        <f t="shared" si="141"/>
        <v>-30.570840681823729</v>
      </c>
      <c r="BB232" s="159">
        <f t="shared" si="142"/>
        <v>-53.06530636597337</v>
      </c>
      <c r="BD232" s="159" t="str">
        <f t="shared" si="143"/>
        <v>-0.0202140182674811+0.0261704556875979j</v>
      </c>
      <c r="BE232" s="159">
        <f t="shared" si="144"/>
        <v>-29.611814964311947</v>
      </c>
      <c r="BF232" s="159">
        <f t="shared" si="145"/>
        <v>-52.317559398069648</v>
      </c>
      <c r="BH232" s="159">
        <f t="shared" si="152"/>
        <v>30.611814964311947</v>
      </c>
      <c r="BI232" s="169">
        <f t="shared" si="153"/>
        <v>52.317559398069648</v>
      </c>
      <c r="BN232" s="165"/>
      <c r="BO232" s="165"/>
      <c r="BP232" s="165"/>
    </row>
    <row r="233" spans="1:68" s="159" customFormat="1">
      <c r="A233" s="159">
        <v>169</v>
      </c>
      <c r="B233" s="159">
        <f t="shared" si="103"/>
        <v>239883.29190194918</v>
      </c>
      <c r="C233" s="159" t="str">
        <f t="shared" si="104"/>
        <v>1507231.1751162j</v>
      </c>
      <c r="D233" s="159">
        <f t="shared" si="105"/>
        <v>7.9296100260546898E-2</v>
      </c>
      <c r="E233" s="159" t="str">
        <f t="shared" si="106"/>
        <v>-1.5072311751162j</v>
      </c>
      <c r="F233" s="159" t="str">
        <f t="shared" si="107"/>
        <v>0.0792961002605469-1.5072311751162j</v>
      </c>
      <c r="G233" s="159">
        <f t="shared" si="108"/>
        <v>3.575601419841882</v>
      </c>
      <c r="H233" s="159">
        <f t="shared" si="109"/>
        <v>-86.988420135968084</v>
      </c>
      <c r="J233" s="159">
        <f t="shared" si="110"/>
        <v>6.3936063936063938</v>
      </c>
      <c r="K233" s="159" t="str">
        <f t="shared" si="111"/>
        <v>1+369.324390994598j</v>
      </c>
      <c r="L233" s="159">
        <f t="shared" si="112"/>
        <v>-1333.6427232875831</v>
      </c>
      <c r="M233" s="159" t="str">
        <f t="shared" si="113"/>
        <v>4.03571310784148j</v>
      </c>
      <c r="N233" s="159" t="str">
        <f t="shared" si="114"/>
        <v>-1333.64272328758+4.03571310784148j</v>
      </c>
      <c r="O233" s="159" t="str">
        <f t="shared" si="115"/>
        <v>0.0000881833292158902-0.276928767100048j</v>
      </c>
      <c r="P233" s="159" t="str">
        <f t="shared" si="116"/>
        <v>0.000563809497484213-1.7705735359044j</v>
      </c>
      <c r="R233" s="159">
        <f t="shared" si="117"/>
        <v>31.968031968031973</v>
      </c>
      <c r="S233" s="159" t="str">
        <f t="shared" si="118"/>
        <v>1+0.052753091129067j</v>
      </c>
      <c r="T233" s="159" t="str">
        <f t="shared" si="119"/>
        <v>-1333.64272328758+4.03571310784148j</v>
      </c>
      <c r="U233" s="159" t="str">
        <f t="shared" si="120"/>
        <v>-0.000749699444758995-0.0000418242922420194j</v>
      </c>
      <c r="V233" s="159" t="str">
        <f t="shared" si="121"/>
        <v>-0.0239664158164714-0.00133704031143319j</v>
      </c>
      <c r="X233" s="159" t="str">
        <f t="shared" si="122"/>
        <v>-0.104605630552662-0.00553675126215068j</v>
      </c>
      <c r="Y233" s="159">
        <f t="shared" si="123"/>
        <v>-19.596748757703963</v>
      </c>
      <c r="Z233" s="159">
        <f t="shared" si="124"/>
        <v>3.0298247450878648</v>
      </c>
      <c r="AB233" s="159" t="str">
        <f t="shared" si="125"/>
        <v>-0.0105555674153144-0.000588874834368285j</v>
      </c>
      <c r="AC233" s="159">
        <f t="shared" si="126"/>
        <v>-39.51687272450318</v>
      </c>
      <c r="AD233" s="159">
        <f t="shared" si="127"/>
        <v>3.1931115977683646</v>
      </c>
      <c r="AF233" s="159" t="str">
        <f t="shared" si="128"/>
        <v>-0.011784218171165-0.000730539683429865j</v>
      </c>
      <c r="AG233" s="159">
        <f t="shared" si="129"/>
        <v>-38.557325962763798</v>
      </c>
      <c r="AH233" s="159">
        <f t="shared" si="130"/>
        <v>3.5474006653971628</v>
      </c>
      <c r="AJ233" s="159" t="str">
        <f t="shared" si="131"/>
        <v>1816.32271451514-16815.8199125963j</v>
      </c>
      <c r="AK233" s="159" t="str">
        <f t="shared" si="132"/>
        <v>29999.9999999999-0.00135650805760458j</v>
      </c>
      <c r="AL233" s="159" t="str">
        <f t="shared" si="146"/>
        <v>10000-14743.7384451055j</v>
      </c>
      <c r="AM233" s="159" t="str">
        <f t="shared" si="147"/>
        <v>790.235104975476-4945.28444410212j</v>
      </c>
      <c r="AN233" s="159" t="str">
        <f t="shared" si="148"/>
        <v>10790.2351049755-4945.28444410212j</v>
      </c>
      <c r="AO233" s="159" t="str">
        <f t="shared" si="149"/>
        <v>8255.50501654153-2636.23673529204j</v>
      </c>
      <c r="AP233" s="159" t="str">
        <f t="shared" si="150"/>
        <v>0.737029095622778+0.389540560573961j</v>
      </c>
      <c r="AQ233" s="159" t="str">
        <f t="shared" si="133"/>
        <v>1+150.572394394108j</v>
      </c>
      <c r="AR233" s="159">
        <f t="shared" si="134"/>
        <v>-3.4041111041403773E-3</v>
      </c>
      <c r="AS233" s="159" t="str">
        <f t="shared" si="135"/>
        <v>0.00410718987987989j</v>
      </c>
      <c r="AT233" s="159" t="str">
        <f t="shared" si="136"/>
        <v>-0.00340411110414038+0.00410718987987989j</v>
      </c>
      <c r="AU233" s="159" t="str">
        <f t="shared" si="137"/>
        <v>3.24186866892943-2.72343900847229j</v>
      </c>
      <c r="AW233" s="159" t="str">
        <f t="shared" si="151"/>
        <v>1.25205865141921-2.14943635420154j</v>
      </c>
      <c r="AX233" s="159">
        <f t="shared" si="138"/>
        <v>7.9153118016356627</v>
      </c>
      <c r="AY233" s="159">
        <f t="shared" si="139"/>
        <v>120.22103826338824</v>
      </c>
      <c r="AZ233" s="159" t="str">
        <f t="shared" si="140"/>
        <v>-0.0144819384800487+0.0219512145107281j</v>
      </c>
      <c r="BA233" s="159">
        <f t="shared" si="141"/>
        <v>-31.601560922867517</v>
      </c>
      <c r="BB233" s="159">
        <f t="shared" si="142"/>
        <v>-56.585850138843426</v>
      </c>
      <c r="BD233" s="159" t="str">
        <f t="shared" si="143"/>
        <v>-0.0163247808651696+0.024414748412101j</v>
      </c>
      <c r="BE233" s="159">
        <f t="shared" si="144"/>
        <v>-30.642014161128152</v>
      </c>
      <c r="BF233" s="159">
        <f t="shared" si="145"/>
        <v>-56.231561071214628</v>
      </c>
      <c r="BH233" s="159">
        <f t="shared" si="152"/>
        <v>31.642014161128152</v>
      </c>
      <c r="BI233" s="169">
        <f t="shared" si="153"/>
        <v>56.231561071214628</v>
      </c>
      <c r="BN233" s="165"/>
      <c r="BO233" s="165"/>
      <c r="BP233" s="165"/>
    </row>
    <row r="234" spans="1:68" s="159" customFormat="1">
      <c r="A234" s="159">
        <v>170</v>
      </c>
      <c r="B234" s="159">
        <f t="shared" si="103"/>
        <v>251188.64315095812</v>
      </c>
      <c r="C234" s="159" t="str">
        <f t="shared" si="104"/>
        <v>1578264.79197648j</v>
      </c>
      <c r="D234" s="159">
        <f t="shared" si="105"/>
        <v>-9.5317511683141731E-3</v>
      </c>
      <c r="E234" s="159" t="str">
        <f t="shared" si="106"/>
        <v>-1.57826479197648j</v>
      </c>
      <c r="F234" s="159" t="str">
        <f t="shared" si="107"/>
        <v>-0.00953175116831417-1.57826479197648j</v>
      </c>
      <c r="G234" s="159">
        <f t="shared" si="108"/>
        <v>3.9637557696679733</v>
      </c>
      <c r="H234" s="159">
        <f t="shared" si="109"/>
        <v>-90.346027153594633</v>
      </c>
      <c r="J234" s="159">
        <f t="shared" si="110"/>
        <v>6.3936063936063938</v>
      </c>
      <c r="K234" s="159" t="str">
        <f t="shared" si="111"/>
        <v>1+386.730113301957j</v>
      </c>
      <c r="L234" s="159">
        <f t="shared" si="112"/>
        <v>-1462.4066457260014</v>
      </c>
      <c r="M234" s="159" t="str">
        <f t="shared" si="113"/>
        <v>4.22591040696404j</v>
      </c>
      <c r="N234" s="159" t="str">
        <f t="shared" si="114"/>
        <v>-1462.406645726+4.22591040696404j</v>
      </c>
      <c r="O234" s="159" t="str">
        <f t="shared" si="115"/>
        <v>0.0000803684941021139-0.264447494684293j</v>
      </c>
      <c r="P234" s="159" t="str">
        <f t="shared" si="116"/>
        <v>0.000513844517735793-1.69077319278669j</v>
      </c>
      <c r="R234" s="159">
        <f t="shared" si="117"/>
        <v>31.968031968031973</v>
      </c>
      <c r="S234" s="159" t="str">
        <f t="shared" si="118"/>
        <v>1+0.0552392677191768j</v>
      </c>
      <c r="T234" s="159" t="str">
        <f t="shared" si="119"/>
        <v>-1462.406645726+4.22591040696404j</v>
      </c>
      <c r="U234" s="159" t="str">
        <f t="shared" si="120"/>
        <v>-0.000683689471256355-0.0000397485052059739j</v>
      </c>
      <c r="V234" s="159" t="str">
        <f t="shared" si="121"/>
        <v>-0.02185620687333-0.00127068148510606j</v>
      </c>
      <c r="X234" s="159" t="str">
        <f t="shared" si="122"/>
        <v>-0.104600682771001+0.000599933561500885j</v>
      </c>
      <c r="Y234" s="159">
        <f t="shared" si="123"/>
        <v>-19.60916675162208</v>
      </c>
      <c r="Z234" s="159">
        <f t="shared" si="124"/>
        <v>-0.32861433831499198</v>
      </c>
      <c r="AB234" s="159" t="str">
        <f t="shared" si="125"/>
        <v>-0.00962616466563753-0.00055964830878928j</v>
      </c>
      <c r="AC234" s="159">
        <f t="shared" si="126"/>
        <v>-40.316279629391062</v>
      </c>
      <c r="AD234" s="159">
        <f t="shared" si="127"/>
        <v>3.3273305208328736</v>
      </c>
      <c r="AF234" s="159" t="str">
        <f t="shared" si="128"/>
        <v>-0.0107511086207052-0.000617823073191932j</v>
      </c>
      <c r="AG234" s="159">
        <f t="shared" si="129"/>
        <v>-39.356616756721323</v>
      </c>
      <c r="AH234" s="159">
        <f t="shared" si="130"/>
        <v>3.2889413292653273</v>
      </c>
      <c r="AJ234" s="159" t="str">
        <f t="shared" si="131"/>
        <v>1658.18858274388-16075.2950954631j</v>
      </c>
      <c r="AK234" s="159" t="str">
        <f t="shared" si="132"/>
        <v>29999.9999999999-0.00142043831277883j</v>
      </c>
      <c r="AL234" s="159" t="str">
        <f t="shared" si="146"/>
        <v>10000-14080.1609053149j</v>
      </c>
      <c r="AM234" s="159" t="str">
        <f t="shared" si="147"/>
        <v>776.781334585283-4750.17751140684j</v>
      </c>
      <c r="AN234" s="159" t="str">
        <f t="shared" si="148"/>
        <v>10776.7813345853-4750.17751140684j</v>
      </c>
      <c r="AO234" s="159" t="str">
        <f t="shared" si="149"/>
        <v>8224.12403782689-2536.72007763051j</v>
      </c>
      <c r="AP234" s="159" t="str">
        <f t="shared" si="150"/>
        <v>0.753374142743651+0.382545933729771j</v>
      </c>
      <c r="AQ234" s="159" t="str">
        <f t="shared" si="133"/>
        <v>1+157.66865271845j</v>
      </c>
      <c r="AR234" s="159">
        <f t="shared" si="134"/>
        <v>-3.7325432507584518E-3</v>
      </c>
      <c r="AS234" s="159" t="str">
        <f t="shared" si="135"/>
        <v>0.00430075577548799j</v>
      </c>
      <c r="AT234" s="159" t="str">
        <f t="shared" si="136"/>
        <v>-0.00373254325075845+0.00430075577548799j</v>
      </c>
      <c r="AU234" s="159" t="str">
        <f t="shared" si="137"/>
        <v>3.11931326295549-2.74206959945493j</v>
      </c>
      <c r="AW234" s="159" t="str">
        <f t="shared" si="151"/>
        <v>1.08002207611769-2.16008702968753j</v>
      </c>
      <c r="AX234" s="159">
        <f t="shared" si="138"/>
        <v>7.6584906312074406</v>
      </c>
      <c r="AY234" s="159">
        <f t="shared" si="139"/>
        <v>116.56459624970446</v>
      </c>
      <c r="AZ234" s="159" t="str">
        <f t="shared" si="140"/>
        <v>-0.0116053594002349+0.0201889209115257j</v>
      </c>
      <c r="BA234" s="159">
        <f t="shared" si="141"/>
        <v>-32.657788998183612</v>
      </c>
      <c r="BB234" s="159">
        <f t="shared" si="142"/>
        <v>-60.108073229462633</v>
      </c>
      <c r="BD234" s="159" t="str">
        <f t="shared" si="143"/>
        <v>-0.0129459862601444+0.0225560677281649j</v>
      </c>
      <c r="BE234" s="159">
        <f t="shared" si="144"/>
        <v>-31.698126125513888</v>
      </c>
      <c r="BF234" s="159">
        <f t="shared" si="145"/>
        <v>-60.146462421030151</v>
      </c>
      <c r="BH234" s="159">
        <f t="shared" si="152"/>
        <v>32.698126125513888</v>
      </c>
      <c r="BI234" s="169">
        <f t="shared" si="153"/>
        <v>60.146462421030151</v>
      </c>
      <c r="BN234" s="165"/>
      <c r="BO234" s="165"/>
      <c r="BP234" s="165"/>
    </row>
    <row r="235" spans="1:68" s="159" customFormat="1">
      <c r="A235" s="159">
        <v>171</v>
      </c>
      <c r="B235" s="159">
        <f t="shared" si="103"/>
        <v>263026.79918953823</v>
      </c>
      <c r="C235" s="159" t="str">
        <f t="shared" si="104"/>
        <v>1652646.12006218j</v>
      </c>
      <c r="D235" s="159">
        <f t="shared" si="105"/>
        <v>-0.10692955347029698</v>
      </c>
      <c r="E235" s="159" t="str">
        <f t="shared" si="106"/>
        <v>-1.65264612006218j</v>
      </c>
      <c r="F235" s="159" t="str">
        <f t="shared" si="107"/>
        <v>-0.106929553470297-1.65264612006218j</v>
      </c>
      <c r="G235" s="159">
        <f t="shared" si="108"/>
        <v>4.3817405136860179</v>
      </c>
      <c r="H235" s="159">
        <f t="shared" si="109"/>
        <v>-93.701992864489185</v>
      </c>
      <c r="J235" s="159">
        <f t="shared" si="110"/>
        <v>6.3936063936063938</v>
      </c>
      <c r="K235" s="159" t="str">
        <f t="shared" si="111"/>
        <v>1+404.956142029436j</v>
      </c>
      <c r="L235" s="159">
        <f t="shared" si="112"/>
        <v>-1603.5934791295849</v>
      </c>
      <c r="M235" s="159" t="str">
        <f t="shared" si="113"/>
        <v>4.42507142863742j</v>
      </c>
      <c r="N235" s="159" t="str">
        <f t="shared" si="114"/>
        <v>-1603.59347912958+4.42507142863742j</v>
      </c>
      <c r="O235" s="159" t="str">
        <f t="shared" si="115"/>
        <v>0.0000732506545115095-0.252530222378969j</v>
      </c>
      <c r="P235" s="159" t="str">
        <f t="shared" si="116"/>
        <v>0.00046833585302064-1.61457884438102j</v>
      </c>
      <c r="R235" s="159">
        <f t="shared" si="117"/>
        <v>31.968031968031973</v>
      </c>
      <c r="S235" s="159" t="str">
        <f t="shared" si="118"/>
        <v>1+0.0578426142021763j</v>
      </c>
      <c r="T235" s="159" t="str">
        <f t="shared" si="119"/>
        <v>-1603.59347912958+4.42507142863742j</v>
      </c>
      <c r="U235" s="159" t="str">
        <f t="shared" si="120"/>
        <v>-0.000623495159166646-0.0000377911394662147j</v>
      </c>
      <c r="V235" s="159" t="str">
        <f t="shared" si="121"/>
        <v>-0.0199319131801525-0.00120810835456431j</v>
      </c>
      <c r="X235" s="159" t="str">
        <f t="shared" si="122"/>
        <v>-0.104596168776196+0.00673711778389185j</v>
      </c>
      <c r="Y235" s="159">
        <f t="shared" si="123"/>
        <v>-19.591703959146713</v>
      </c>
      <c r="Z235" s="159">
        <f t="shared" si="124"/>
        <v>-3.6853732567732038</v>
      </c>
      <c r="AB235" s="159" t="str">
        <f t="shared" si="125"/>
        <v>-0.00877864487124092-0.000532089123349179j</v>
      </c>
      <c r="AC235" s="159">
        <f t="shared" si="126"/>
        <v>-41.115524577062665</v>
      </c>
      <c r="AD235" s="159">
        <f t="shared" si="127"/>
        <v>3.4685546623543075</v>
      </c>
      <c r="AF235" s="159" t="str">
        <f t="shared" si="128"/>
        <v>-0.00980803396780513-0.000520448122991318j</v>
      </c>
      <c r="AG235" s="159">
        <f t="shared" si="129"/>
        <v>-40.156149399883603</v>
      </c>
      <c r="AH235" s="159">
        <f t="shared" si="130"/>
        <v>3.0374629944176093</v>
      </c>
      <c r="AJ235" s="159" t="str">
        <f t="shared" si="131"/>
        <v>1513.68819020764-15366.0221925041j</v>
      </c>
      <c r="AK235" s="159" t="str">
        <f t="shared" si="132"/>
        <v>29999.9999999999-0.00148738150805596j</v>
      </c>
      <c r="AL235" s="159" t="str">
        <f t="shared" si="146"/>
        <v>10000-13446.4492745647j</v>
      </c>
      <c r="AM235" s="159" t="str">
        <f t="shared" si="147"/>
        <v>762.546448515325-4564.13856333229j</v>
      </c>
      <c r="AN235" s="159" t="str">
        <f t="shared" si="148"/>
        <v>10762.5464485153-4564.13856333229j</v>
      </c>
      <c r="AO235" s="159" t="str">
        <f t="shared" si="149"/>
        <v>8194.28735872948-2441.56232762959j</v>
      </c>
      <c r="AP235" s="159" t="str">
        <f t="shared" si="150"/>
        <v>0.769109768912972+0.375016639208828j</v>
      </c>
      <c r="AQ235" s="159" t="str">
        <f t="shared" si="133"/>
        <v>1+165.099347394212j</v>
      </c>
      <c r="AR235" s="159">
        <f t="shared" si="134"/>
        <v>-4.0926619384376349E-3</v>
      </c>
      <c r="AS235" s="159" t="str">
        <f t="shared" si="135"/>
        <v>0.00450344415070824j</v>
      </c>
      <c r="AT235" s="159" t="str">
        <f t="shared" si="136"/>
        <v>-0.00409266193843763+0.00450344415070824j</v>
      </c>
      <c r="AU235" s="159" t="str">
        <f t="shared" si="137"/>
        <v>2.9951602939455-2.7552642198525j</v>
      </c>
      <c r="AW235" s="159" t="str">
        <f t="shared" si="151"/>
        <v>0.909964850601402-2.15342851798814j</v>
      </c>
      <c r="AX235" s="159">
        <f t="shared" si="138"/>
        <v>7.3761324418578411</v>
      </c>
      <c r="AY235" s="159">
        <f t="shared" si="139"/>
        <v>112.90724785452035</v>
      </c>
      <c r="AZ235" s="159" t="str">
        <f t="shared" si="140"/>
        <v>-0.00913407416107294+0.0184200018153854j</v>
      </c>
      <c r="BA235" s="159">
        <f t="shared" si="141"/>
        <v>-33.739392135204838</v>
      </c>
      <c r="BB235" s="159">
        <f t="shared" si="142"/>
        <v>-63.624197483125286</v>
      </c>
      <c r="BD235" s="159" t="str">
        <f t="shared" si="143"/>
        <v>-0.0100457139943902+0.0206473105531843j</v>
      </c>
      <c r="BE235" s="159">
        <f t="shared" si="144"/>
        <v>-32.780016958025783</v>
      </c>
      <c r="BF235" s="159">
        <f t="shared" si="145"/>
        <v>-64.055289151061956</v>
      </c>
      <c r="BH235" s="159">
        <f t="shared" si="152"/>
        <v>33.780016958025783</v>
      </c>
      <c r="BI235" s="169">
        <f t="shared" si="153"/>
        <v>64.055289151061956</v>
      </c>
      <c r="BN235" s="165"/>
      <c r="BO235" s="165"/>
      <c r="BP235" s="165"/>
    </row>
    <row r="236" spans="1:68" s="159" customFormat="1">
      <c r="A236" s="159">
        <v>172</v>
      </c>
      <c r="B236" s="159">
        <f t="shared" si="103"/>
        <v>275422.87033381691</v>
      </c>
      <c r="C236" s="159" t="str">
        <f t="shared" si="104"/>
        <v>1730532.93214267j</v>
      </c>
      <c r="D236" s="159">
        <f t="shared" si="105"/>
        <v>-0.21372412004670216</v>
      </c>
      <c r="E236" s="159" t="str">
        <f t="shared" si="106"/>
        <v>-1.73053293214267j</v>
      </c>
      <c r="F236" s="159" t="str">
        <f t="shared" si="107"/>
        <v>-0.213724120046702-1.73053293214267j</v>
      </c>
      <c r="G236" s="159">
        <f t="shared" si="108"/>
        <v>4.8293389902653656</v>
      </c>
      <c r="H236" s="159">
        <f t="shared" si="109"/>
        <v>-97.0404870390756</v>
      </c>
      <c r="J236" s="159">
        <f t="shared" si="110"/>
        <v>6.3936063936063938</v>
      </c>
      <c r="K236" s="159" t="str">
        <f t="shared" si="111"/>
        <v>1+424.041137027579j</v>
      </c>
      <c r="L236" s="159">
        <f t="shared" si="112"/>
        <v>-1758.4017635391388</v>
      </c>
      <c r="M236" s="159" t="str">
        <f t="shared" si="113"/>
        <v>4.63361862009064j</v>
      </c>
      <c r="N236" s="159" t="str">
        <f t="shared" si="114"/>
        <v>-1758.40176353914+4.63361862009064j</v>
      </c>
      <c r="O236" s="159" t="str">
        <f t="shared" si="115"/>
        <v>0.0000667669025520133-0.241151275236296j</v>
      </c>
      <c r="P236" s="159" t="str">
        <f t="shared" si="116"/>
        <v>0.000426881295037847-1.54182633517712j</v>
      </c>
      <c r="R236" s="159">
        <f t="shared" si="117"/>
        <v>31.968031968031973</v>
      </c>
      <c r="S236" s="159" t="str">
        <f t="shared" si="118"/>
        <v>1+0.0605686526249934j</v>
      </c>
      <c r="T236" s="159" t="str">
        <f t="shared" si="119"/>
        <v>-1758.40176353914+4.63361862009064j</v>
      </c>
      <c r="U236" s="159" t="str">
        <f t="shared" si="120"/>
        <v>-0.000568603530576949-0.0000359436312236826j</v>
      </c>
      <c r="V236" s="159" t="str">
        <f t="shared" si="121"/>
        <v>-0.0181771358426198-0.00114904715200584j</v>
      </c>
      <c r="X236" s="159" t="str">
        <f t="shared" si="122"/>
        <v>-0.104592050663432+0.0128879190796798j</v>
      </c>
      <c r="Y236" s="159">
        <f t="shared" si="123"/>
        <v>-19.544581481288969</v>
      </c>
      <c r="Z236" s="159">
        <f t="shared" si="124"/>
        <v>-7.0246237116853365</v>
      </c>
      <c r="AB236" s="159" t="str">
        <f t="shared" si="125"/>
        <v>-0.00800578544048439-0.000506076702050579j</v>
      </c>
      <c r="AC236" s="159">
        <f t="shared" si="126"/>
        <v>-41.914601269919956</v>
      </c>
      <c r="AD236" s="159">
        <f t="shared" si="127"/>
        <v>3.6170753014609147</v>
      </c>
      <c r="AF236" s="159" t="str">
        <f t="shared" si="128"/>
        <v>-0.00894721771598645-0.000436410782848418j</v>
      </c>
      <c r="AG236" s="159">
        <f t="shared" si="129"/>
        <v>-40.955919811770741</v>
      </c>
      <c r="AH236" s="159">
        <f t="shared" si="130"/>
        <v>2.7924540948137633</v>
      </c>
      <c r="AJ236" s="159" t="str">
        <f t="shared" si="131"/>
        <v>1381.6684296786-14686.8570506017j</v>
      </c>
      <c r="AK236" s="159" t="str">
        <f t="shared" si="132"/>
        <v>29999.9999999999-0.0015574796389284j</v>
      </c>
      <c r="AL236" s="159" t="str">
        <f t="shared" si="146"/>
        <v>10000-12841.2593655225j</v>
      </c>
      <c r="AM236" s="159" t="str">
        <f t="shared" si="147"/>
        <v>747.52604692741-4386.68621607874j</v>
      </c>
      <c r="AN236" s="159" t="str">
        <f t="shared" si="148"/>
        <v>10747.5260469274-4386.68621607874j</v>
      </c>
      <c r="AO236" s="159" t="str">
        <f t="shared" si="149"/>
        <v>8165.82012872427-2350.56478745133j</v>
      </c>
      <c r="AP236" s="159" t="str">
        <f t="shared" si="150"/>
        <v>0.784206527778941+0.367014547405377j</v>
      </c>
      <c r="AQ236" s="159" t="str">
        <f t="shared" si="133"/>
        <v>1+172.880239921053j</v>
      </c>
      <c r="AR236" s="159">
        <f t="shared" si="134"/>
        <v>-4.4875242275016197E-3</v>
      </c>
      <c r="AS236" s="159" t="str">
        <f t="shared" si="135"/>
        <v>0.00471568493475945j</v>
      </c>
      <c r="AT236" s="159" t="str">
        <f t="shared" si="136"/>
        <v>-0.00448752422750162+0.00471568493475945j</v>
      </c>
      <c r="AU236" s="159" t="str">
        <f t="shared" si="137"/>
        <v>2.86991341863648-2.76286608991359j</v>
      </c>
      <c r="AW236" s="159" t="str">
        <f t="shared" si="151"/>
        <v>0.744160767051495-2.1301936931851j</v>
      </c>
      <c r="AX236" s="159">
        <f t="shared" si="138"/>
        <v>7.0684578373291611</v>
      </c>
      <c r="AY236" s="159">
        <f t="shared" si="139"/>
        <v>109.25632458765411</v>
      </c>
      <c r="AZ236" s="159" t="str">
        <f t="shared" si="140"/>
        <v>-0.00703563283321661+0.0166772712275281j</v>
      </c>
      <c r="BA236" s="159">
        <f t="shared" si="141"/>
        <v>-34.846143432590807</v>
      </c>
      <c r="BB236" s="159">
        <f t="shared" si="142"/>
        <v>-67.126600110885008</v>
      </c>
      <c r="BD236" s="159" t="str">
        <f t="shared" si="143"/>
        <v>-0.00758780789576687+0.0187345469672343j</v>
      </c>
      <c r="BE236" s="159">
        <f t="shared" si="144"/>
        <v>-33.887461974441592</v>
      </c>
      <c r="BF236" s="159">
        <f t="shared" si="145"/>
        <v>-67.951221317532131</v>
      </c>
      <c r="BH236" s="159">
        <f t="shared" si="152"/>
        <v>34.887461974441592</v>
      </c>
      <c r="BI236" s="169">
        <f t="shared" si="153"/>
        <v>67.951221317532131</v>
      </c>
      <c r="BN236" s="165"/>
      <c r="BO236" s="165"/>
      <c r="BP236" s="165"/>
    </row>
    <row r="237" spans="1:68" s="159" customFormat="1">
      <c r="A237" s="159">
        <v>173</v>
      </c>
      <c r="B237" s="159">
        <f t="shared" si="103"/>
        <v>288403.15031266079</v>
      </c>
      <c r="C237" s="159" t="str">
        <f t="shared" si="104"/>
        <v>1812090.43658882j</v>
      </c>
      <c r="D237" s="159">
        <f t="shared" si="105"/>
        <v>-0.33082203376428132</v>
      </c>
      <c r="E237" s="159" t="str">
        <f t="shared" si="106"/>
        <v>-1.81209043658882j</v>
      </c>
      <c r="F237" s="159" t="str">
        <f t="shared" si="107"/>
        <v>-0.330822033764281-1.81209043658882j</v>
      </c>
      <c r="G237" s="159">
        <f t="shared" si="108"/>
        <v>5.3059857502857621</v>
      </c>
      <c r="H237" s="159">
        <f t="shared" si="109"/>
        <v>-100.34619222789108</v>
      </c>
      <c r="J237" s="159">
        <f t="shared" si="110"/>
        <v>6.3936063936063938</v>
      </c>
      <c r="K237" s="159" t="str">
        <f t="shared" si="111"/>
        <v>1+444.025580129542j</v>
      </c>
      <c r="L237" s="159">
        <f t="shared" si="112"/>
        <v>-1928.1456719765315</v>
      </c>
      <c r="M237" s="159" t="str">
        <f t="shared" si="113"/>
        <v>4.85199433787712j</v>
      </c>
      <c r="N237" s="159" t="str">
        <f t="shared" si="114"/>
        <v>-1928.14567197653+4.85199433787712j</v>
      </c>
      <c r="O237" s="159" t="str">
        <f t="shared" si="115"/>
        <v>0.0000608601319759516-0.230286171470312j</v>
      </c>
      <c r="P237" s="159" t="str">
        <f t="shared" si="116"/>
        <v>0.000389115728917173-1.47235913827173j</v>
      </c>
      <c r="R237" s="159">
        <f t="shared" si="117"/>
        <v>31.968031968031973</v>
      </c>
      <c r="S237" s="159" t="str">
        <f t="shared" si="118"/>
        <v>1+0.0634231652806087j</v>
      </c>
      <c r="T237" s="159" t="str">
        <f t="shared" si="119"/>
        <v>-1928.14567197653+4.85199433787712j</v>
      </c>
      <c r="U237" s="159" t="str">
        <f t="shared" si="120"/>
        <v>-0.000518546956776088-0.0000341982211910451j</v>
      </c>
      <c r="V237" s="159" t="str">
        <f t="shared" si="121"/>
        <v>-0.0165769256911437-0.00109324982828516j</v>
      </c>
      <c r="X237" s="159" t="str">
        <f t="shared" si="122"/>
        <v>-0.104588293818605+0.0190654710936097j</v>
      </c>
      <c r="Y237" s="159">
        <f t="shared" si="123"/>
        <v>-19.4683688150206</v>
      </c>
      <c r="Z237" s="159">
        <f t="shared" si="124"/>
        <v>-10.331050074111744</v>
      </c>
      <c r="AB237" s="159" t="str">
        <f t="shared" si="125"/>
        <v>-0.00730100228634385-0.000481501796205752j</v>
      </c>
      <c r="AC237" s="159">
        <f t="shared" si="126"/>
        <v>-42.713502001452085</v>
      </c>
      <c r="AD237" s="159">
        <f t="shared" si="127"/>
        <v>3.7731980452439302</v>
      </c>
      <c r="AF237" s="159" t="str">
        <f t="shared" si="128"/>
        <v>-0.00816154333441526-0.000363964560027981j</v>
      </c>
      <c r="AG237" s="159">
        <f t="shared" si="129"/>
        <v>-41.755925858323508</v>
      </c>
      <c r="AH237" s="159">
        <f t="shared" si="130"/>
        <v>2.5534172629273826</v>
      </c>
      <c r="AJ237" s="159" t="str">
        <f t="shared" si="131"/>
        <v>1261.06998493112-14036.674289865j</v>
      </c>
      <c r="AK237" s="159" t="str">
        <f t="shared" si="132"/>
        <v>29999.9999999999-0.00163088139292993j</v>
      </c>
      <c r="AL237" s="159" t="str">
        <f t="shared" si="146"/>
        <v>10000-12263.3074892523j</v>
      </c>
      <c r="AM237" s="159" t="str">
        <f t="shared" si="147"/>
        <v>731.722247789286-4217.35480656536j</v>
      </c>
      <c r="AN237" s="159" t="str">
        <f t="shared" si="148"/>
        <v>10731.7222477893-4217.35480656536j</v>
      </c>
      <c r="AO237" s="159" t="str">
        <f t="shared" si="149"/>
        <v>8138.56499609083-2263.5289433726j</v>
      </c>
      <c r="AP237" s="159" t="str">
        <f t="shared" si="150"/>
        <v>0.798642497693501+0.358602066121905j</v>
      </c>
      <c r="AQ237" s="159" t="str">
        <f t="shared" si="133"/>
        <v>1+181.027834615223j</v>
      </c>
      <c r="AR237" s="159">
        <f t="shared" si="134"/>
        <v>-4.9204821179394259E-3</v>
      </c>
      <c r="AS237" s="159" t="str">
        <f t="shared" si="135"/>
        <v>0.00493792831880017j</v>
      </c>
      <c r="AT237" s="159" t="str">
        <f t="shared" si="136"/>
        <v>-0.00492048211793943+0.00493792831880017j</v>
      </c>
      <c r="AU237" s="159" t="str">
        <f t="shared" si="137"/>
        <v>2.74409451822255-2.76477646604781j</v>
      </c>
      <c r="AW237" s="159" t="str">
        <f t="shared" si="151"/>
        <v>0.584689415230864-2.09145416167309j</v>
      </c>
      <c r="AX237" s="159">
        <f t="shared" si="138"/>
        <v>6.735776846731226</v>
      </c>
      <c r="AY237" s="159">
        <f t="shared" si="139"/>
        <v>105.61892969340168</v>
      </c>
      <c r="AZ237" s="159" t="str">
        <f t="shared" si="140"/>
        <v>-0.00527585769292917+0.0149881826125024j</v>
      </c>
      <c r="BA237" s="159">
        <f t="shared" si="141"/>
        <v>-35.977725154720879</v>
      </c>
      <c r="BB237" s="159">
        <f t="shared" si="142"/>
        <v>-70.607872261354345</v>
      </c>
      <c r="BD237" s="159" t="str">
        <f t="shared" si="143"/>
        <v>-0.00553318319335265+0.0168566875466705j</v>
      </c>
      <c r="BE237" s="159">
        <f t="shared" si="144"/>
        <v>-35.020149011592295</v>
      </c>
      <c r="BF237" s="159">
        <f t="shared" si="145"/>
        <v>-71.827653043670907</v>
      </c>
      <c r="BH237" s="159">
        <f t="shared" si="152"/>
        <v>36.020149011592295</v>
      </c>
      <c r="BI237" s="169">
        <f t="shared" si="153"/>
        <v>71.827653043670907</v>
      </c>
      <c r="BN237" s="165"/>
      <c r="BO237" s="165"/>
      <c r="BP237" s="165"/>
    </row>
    <row r="238" spans="1:68" s="159" customFormat="1">
      <c r="A238" s="159">
        <v>174</v>
      </c>
      <c r="B238" s="159">
        <f t="shared" si="103"/>
        <v>301995.17204020178</v>
      </c>
      <c r="C238" s="159" t="str">
        <f t="shared" si="104"/>
        <v>1897491.62780217j</v>
      </c>
      <c r="D238" s="159">
        <f t="shared" si="105"/>
        <v>-0.45921734296946193</v>
      </c>
      <c r="E238" s="159" t="str">
        <f t="shared" si="106"/>
        <v>-1.89749162780217j</v>
      </c>
      <c r="F238" s="159" t="str">
        <f t="shared" si="107"/>
        <v>-0.459217342969462-1.89749162780217j</v>
      </c>
      <c r="G238" s="159">
        <f t="shared" si="108"/>
        <v>5.8107940723193874</v>
      </c>
      <c r="H238" s="159">
        <f t="shared" si="109"/>
        <v>-103.60472968962175</v>
      </c>
      <c r="J238" s="159">
        <f t="shared" si="110"/>
        <v>6.3936063936063938</v>
      </c>
      <c r="K238" s="159" t="str">
        <f t="shared" si="111"/>
        <v>1+464.951861018505j</v>
      </c>
      <c r="L238" s="159">
        <f t="shared" si="112"/>
        <v>-2114.2661665062569</v>
      </c>
      <c r="M238" s="159" t="str">
        <f t="shared" si="113"/>
        <v>5.08066178617246j</v>
      </c>
      <c r="N238" s="159" t="str">
        <f t="shared" si="114"/>
        <v>-2114.26616650626+5.08066178617246j</v>
      </c>
      <c r="O238" s="159" t="str">
        <f t="shared" si="115"/>
        <v>0.0000554784827187285-0.219911563887631j</v>
      </c>
      <c r="P238" s="159" t="str">
        <f t="shared" si="116"/>
        <v>0.000354707581818044-1.40602798089994j</v>
      </c>
      <c r="R238" s="159">
        <f t="shared" si="117"/>
        <v>31.968031968031973</v>
      </c>
      <c r="S238" s="159" t="str">
        <f t="shared" si="118"/>
        <v>1+0.0664122069730759j</v>
      </c>
      <c r="T238" s="159" t="str">
        <f t="shared" si="119"/>
        <v>-2114.26616650626+5.08066178617246j</v>
      </c>
      <c r="U238" s="159" t="str">
        <f t="shared" si="120"/>
        <v>-0.00047289913216728-0.0000325478639410411j</v>
      </c>
      <c r="V238" s="159" t="str">
        <f t="shared" si="121"/>
        <v>-0.0151176545747782-0.00104049115495836j</v>
      </c>
      <c r="X238" s="159" t="str">
        <f t="shared" si="122"/>
        <v>-0.10458486663629+0.0252829529701769j</v>
      </c>
      <c r="Y238" s="159">
        <f t="shared" si="123"/>
        <v>-19.363956372696414</v>
      </c>
      <c r="Z238" s="159">
        <f t="shared" si="124"/>
        <v>-13.590275320829448</v>
      </c>
      <c r="AB238" s="159" t="str">
        <f t="shared" si="125"/>
        <v>-0.00665829314017979-0.000458265208085602j</v>
      </c>
      <c r="AC238" s="159">
        <f t="shared" si="126"/>
        <v>-43.51221759523996</v>
      </c>
      <c r="AD238" s="159">
        <f t="shared" si="127"/>
        <v>3.9372433000824287</v>
      </c>
      <c r="AF238" s="159" t="str">
        <f t="shared" si="128"/>
        <v>-0.00744450023387362-0.000301587776132005j</v>
      </c>
      <c r="AG238" s="159">
        <f t="shared" si="129"/>
        <v>-42.55616732770762</v>
      </c>
      <c r="AH238" s="159">
        <f t="shared" si="130"/>
        <v>2.3198686869946812</v>
      </c>
      <c r="AJ238" s="159" t="str">
        <f t="shared" si="131"/>
        <v>1150.92033152832-13414.370451355j</v>
      </c>
      <c r="AK238" s="159" t="str">
        <f t="shared" si="132"/>
        <v>29999.9999999999-0.00170774246502195j</v>
      </c>
      <c r="AL238" s="159" t="str">
        <f t="shared" si="146"/>
        <v>10000-11711.3677323371j</v>
      </c>
      <c r="AM238" s="159" t="str">
        <f t="shared" si="147"/>
        <v>715.144371430702-4055.69426579899j</v>
      </c>
      <c r="AN238" s="159" t="str">
        <f t="shared" si="148"/>
        <v>10715.1443714307-4055.69426579899j</v>
      </c>
      <c r="AO238" s="159" t="str">
        <f t="shared" si="149"/>
        <v>8112.38153052623-2180.2573596123j</v>
      </c>
      <c r="AP238" s="159" t="str">
        <f t="shared" si="150"/>
        <v>0.812402978125347+0.349841162572658j</v>
      </c>
      <c r="AQ238" s="159" t="str">
        <f t="shared" si="133"/>
        <v>1+189.559413617437j</v>
      </c>
      <c r="AR238" s="159">
        <f t="shared" si="134"/>
        <v>-5.3952110046526268E-3</v>
      </c>
      <c r="AS238" s="159" t="str">
        <f t="shared" si="135"/>
        <v>0.00517064571084464j</v>
      </c>
      <c r="AT238" s="159" t="str">
        <f t="shared" si="136"/>
        <v>-0.00539521100465263+0.00517064571084464j</v>
      </c>
      <c r="AU238" s="159" t="str">
        <f t="shared" si="137"/>
        <v>2.6182350993742-2.76095706788997j</v>
      </c>
      <c r="AW238" s="159" t="str">
        <f t="shared" si="151"/>
        <v>0.433381388237128-2.03856979643243j</v>
      </c>
      <c r="AX238" s="159">
        <f t="shared" si="138"/>
        <v>6.3784844892074517</v>
      </c>
      <c r="AY238" s="159">
        <f t="shared" si="139"/>
        <v>102.00188239458029</v>
      </c>
      <c r="AZ238" s="159" t="str">
        <f t="shared" si="140"/>
        <v>-0.00381978593633999+0.0133747916793028j</v>
      </c>
      <c r="BA238" s="159">
        <f t="shared" si="141"/>
        <v>-37.133733106032537</v>
      </c>
      <c r="BB238" s="159">
        <f t="shared" si="142"/>
        <v>-74.060874305337251</v>
      </c>
      <c r="BD238" s="159" t="str">
        <f t="shared" si="143"/>
        <v>-0.0038411155774837+0.0150454307972134j</v>
      </c>
      <c r="BE238" s="159">
        <f t="shared" si="144"/>
        <v>-36.177682838500225</v>
      </c>
      <c r="BF238" s="159">
        <f t="shared" si="145"/>
        <v>-75.678248918424984</v>
      </c>
      <c r="BH238" s="159">
        <f t="shared" si="152"/>
        <v>37.177682838500225</v>
      </c>
      <c r="BI238" s="169">
        <f t="shared" si="153"/>
        <v>75.678248918424984</v>
      </c>
      <c r="BN238" s="165"/>
      <c r="BO238" s="165"/>
      <c r="BP238" s="165"/>
    </row>
    <row r="239" spans="1:68" s="159" customFormat="1">
      <c r="A239" s="159">
        <v>175</v>
      </c>
      <c r="B239" s="159">
        <f t="shared" si="103"/>
        <v>316227.76601683802</v>
      </c>
      <c r="C239" s="159" t="str">
        <f t="shared" si="104"/>
        <v>1986917.65315922j</v>
      </c>
      <c r="D239" s="159">
        <f t="shared" si="105"/>
        <v>-0.59999999999999898</v>
      </c>
      <c r="E239" s="159" t="str">
        <f t="shared" si="106"/>
        <v>-1.98691765315922j</v>
      </c>
      <c r="F239" s="159" t="str">
        <f t="shared" si="107"/>
        <v>-0.599999999999999-1.98691765315922j</v>
      </c>
      <c r="G239" s="159">
        <f t="shared" si="108"/>
        <v>6.3425974201875954</v>
      </c>
      <c r="H239" s="159">
        <f t="shared" si="109"/>
        <v>-106.80301778155575</v>
      </c>
      <c r="J239" s="159">
        <f t="shared" si="110"/>
        <v>6.3936063936063938</v>
      </c>
      <c r="K239" s="159" t="str">
        <f t="shared" si="111"/>
        <v>1+486.864367141869j</v>
      </c>
      <c r="L239" s="159">
        <f t="shared" si="112"/>
        <v>-2318.3432306134787</v>
      </c>
      <c r="M239" s="159" t="str">
        <f t="shared" si="113"/>
        <v>5.32010599929244j</v>
      </c>
      <c r="N239" s="159" t="str">
        <f t="shared" si="114"/>
        <v>-2318.34323061348+5.32010599929244j</v>
      </c>
      <c r="O239" s="159" t="str">
        <f t="shared" si="115"/>
        <v>0.0000505748419170408-0.210005184585854j</v>
      </c>
      <c r="P239" s="159" t="str">
        <f t="shared" si="116"/>
        <v>0.000323355632636425-1.34269049085861j</v>
      </c>
      <c r="R239" s="159">
        <f t="shared" si="117"/>
        <v>31.968031968031973</v>
      </c>
      <c r="S239" s="159" t="str">
        <f t="shared" si="118"/>
        <v>1+0.0695421178605727j</v>
      </c>
      <c r="T239" s="159" t="str">
        <f t="shared" si="119"/>
        <v>-2318.34323061348+5.32010599929244j</v>
      </c>
      <c r="U239" s="159" t="str">
        <f t="shared" si="120"/>
        <v>-0.000431271408479596-0.0000309861484354665j</v>
      </c>
      <c r="V239" s="159" t="str">
        <f t="shared" si="121"/>
        <v>-0.0137868981731739-0.000990566183751177j</v>
      </c>
      <c r="X239" s="159" t="str">
        <f t="shared" si="122"/>
        <v>-0.104581740261267+0.0315536187630647j</v>
      </c>
      <c r="Y239" s="159">
        <f t="shared" si="123"/>
        <v>-19.232514056029686</v>
      </c>
      <c r="Z239" s="159">
        <f t="shared" si="124"/>
        <v>-16.789219432047901</v>
      </c>
      <c r="AB239" s="159" t="str">
        <f t="shared" si="125"/>
        <v>-0.00607218593841616-0.000436276671989067j</v>
      </c>
      <c r="AC239" s="159">
        <f t="shared" si="126"/>
        <v>-44.310737332276787</v>
      </c>
      <c r="AD239" s="159">
        <f t="shared" si="127"/>
        <v>4.109546749864279</v>
      </c>
      <c r="AF239" s="159" t="str">
        <f t="shared" si="128"/>
        <v>-0.00679013382609868-0.000247954936673887j</v>
      </c>
      <c r="AG239" s="159">
        <f t="shared" si="129"/>
        <v>-43.356645919869067</v>
      </c>
      <c r="AH239" s="159">
        <f t="shared" si="130"/>
        <v>2.091337511591064</v>
      </c>
      <c r="AJ239" s="159" t="str">
        <f t="shared" si="131"/>
        <v>1050.32715136524-12818.8665339464j</v>
      </c>
      <c r="AK239" s="159" t="str">
        <f t="shared" si="132"/>
        <v>29999.9999999999-0.00178822588784329j</v>
      </c>
      <c r="AL239" s="159" t="str">
        <f t="shared" si="146"/>
        <v>10000-11184.2693565527j</v>
      </c>
      <c r="AM239" s="159" t="str">
        <f t="shared" si="147"/>
        <v>697.809543264853-3901.27017618887j</v>
      </c>
      <c r="AN239" s="159" t="str">
        <f t="shared" si="148"/>
        <v>10697.8095432649-3901.27017618887j</v>
      </c>
      <c r="AO239" s="159" t="str">
        <f t="shared" si="149"/>
        <v>8087.14566369211-2100.55456854467j</v>
      </c>
      <c r="AP239" s="159" t="str">
        <f t="shared" si="150"/>
        <v>0.825480059587492+0.34079249299439j</v>
      </c>
      <c r="AQ239" s="159" t="str">
        <f t="shared" si="133"/>
        <v>1+198.493073550606j</v>
      </c>
      <c r="AR239" s="159">
        <f t="shared" si="134"/>
        <v>-5.9157408780129575E-3</v>
      </c>
      <c r="AS239" s="159" t="str">
        <f t="shared" si="135"/>
        <v>0.00541433073568234j</v>
      </c>
      <c r="AT239" s="159" t="str">
        <f t="shared" si="136"/>
        <v>-0.00591574087801296+0.00541433073568234j</v>
      </c>
      <c r="AU239" s="159" t="str">
        <f t="shared" si="137"/>
        <v>2.49286735317495-2.75143097677123j</v>
      </c>
      <c r="AW239" s="159" t="str">
        <f t="shared" si="151"/>
        <v>0.291776934377271-1.97312937664139j</v>
      </c>
      <c r="AX239" s="159">
        <f t="shared" si="138"/>
        <v>5.9970553334985439</v>
      </c>
      <c r="AY239" s="159">
        <f t="shared" si="139"/>
        <v>98.411666448624786</v>
      </c>
      <c r="AZ239" s="159" t="str">
        <f t="shared" si="140"/>
        <v>-0.00263255411592481+0.0118539129856244j</v>
      </c>
      <c r="BA239" s="159">
        <f t="shared" si="141"/>
        <v>-38.31368199877825</v>
      </c>
      <c r="BB239" s="159">
        <f t="shared" si="142"/>
        <v>-77.478786801510907</v>
      </c>
      <c r="BD239" s="159" t="str">
        <f t="shared" si="143"/>
        <v>-0.00247045160142499+0.0133254649923153j</v>
      </c>
      <c r="BE239" s="159">
        <f t="shared" si="144"/>
        <v>-37.359590586370516</v>
      </c>
      <c r="BF239" s="159">
        <f t="shared" si="145"/>
        <v>-79.496996039784122</v>
      </c>
      <c r="BH239" s="159">
        <f t="shared" si="152"/>
        <v>38.359590586370516</v>
      </c>
      <c r="BI239" s="169">
        <f t="shared" si="153"/>
        <v>79.496996039784122</v>
      </c>
      <c r="BN239" s="165"/>
      <c r="BO239" s="165"/>
      <c r="BP239" s="165"/>
    </row>
    <row r="240" spans="1:68" s="159" customFormat="1">
      <c r="A240" s="159">
        <v>176</v>
      </c>
      <c r="B240" s="159">
        <f t="shared" si="103"/>
        <v>331131.12148259114</v>
      </c>
      <c r="C240" s="159" t="str">
        <f t="shared" si="104"/>
        <v>2080558.19724932j</v>
      </c>
      <c r="D240" s="159">
        <f t="shared" si="105"/>
        <v>-0.75436511382910432</v>
      </c>
      <c r="E240" s="159" t="str">
        <f t="shared" si="106"/>
        <v>-2.08055819724932j</v>
      </c>
      <c r="F240" s="159" t="str">
        <f t="shared" si="107"/>
        <v>-0.754365113829104-2.08055819724932j</v>
      </c>
      <c r="G240" s="159">
        <f t="shared" si="108"/>
        <v>6.9000008365444332</v>
      </c>
      <c r="H240" s="159">
        <f t="shared" si="109"/>
        <v>-109.92954234858883</v>
      </c>
      <c r="J240" s="159">
        <f t="shared" si="110"/>
        <v>6.3936063936063938</v>
      </c>
      <c r="K240" s="159" t="str">
        <f t="shared" si="111"/>
        <v>1+509.809577862987j</v>
      </c>
      <c r="L240" s="159">
        <f t="shared" si="112"/>
        <v>-2542.1092817399881</v>
      </c>
      <c r="M240" s="159" t="str">
        <f t="shared" si="113"/>
        <v>5.57083487051599j</v>
      </c>
      <c r="N240" s="159" t="str">
        <f t="shared" si="114"/>
        <v>-2542.10928173999+5.57083487051599j</v>
      </c>
      <c r="O240" s="159" t="str">
        <f t="shared" si="115"/>
        <v>0.0000461063951483929-0.200545792690283j</v>
      </c>
      <c r="P240" s="159" t="str">
        <f t="shared" si="116"/>
        <v>0.000294786142806908-1.28221086235546j</v>
      </c>
      <c r="R240" s="159">
        <f t="shared" si="117"/>
        <v>31.968031968031973</v>
      </c>
      <c r="S240" s="159" t="str">
        <f t="shared" si="118"/>
        <v>1+0.0728195369037262j</v>
      </c>
      <c r="T240" s="159" t="str">
        <f t="shared" si="119"/>
        <v>-2542.10928173999+5.57083487051599j</v>
      </c>
      <c r="U240" s="159" t="str">
        <f t="shared" si="120"/>
        <v>-0.000393309456554638-0.0000295072282997457j</v>
      </c>
      <c r="V240" s="159" t="str">
        <f t="shared" si="121"/>
        <v>-0.012573329280468-0.000943288017574288j</v>
      </c>
      <c r="X240" s="159" t="str">
        <f t="shared" si="122"/>
        <v>-0.10457888835171+0.0378908268149296j</v>
      </c>
      <c r="Y240" s="159">
        <f t="shared" si="123"/>
        <v>-19.075439891246806</v>
      </c>
      <c r="Z240" s="159">
        <f t="shared" si="124"/>
        <v>-19.916369787007824</v>
      </c>
      <c r="AB240" s="159" t="str">
        <f t="shared" si="125"/>
        <v>-0.00553769182139088-0.000415453872527764j</v>
      </c>
      <c r="AC240" s="159">
        <f t="shared" si="126"/>
        <v>-45.10904886616202</v>
      </c>
      <c r="AD240" s="159">
        <f t="shared" si="127"/>
        <v>4.2904598384832866</v>
      </c>
      <c r="AF240" s="159" t="str">
        <f t="shared" si="128"/>
        <v>-0.00619299941751699-0.000201911705879772j</v>
      </c>
      <c r="AG240" s="159">
        <f t="shared" si="129"/>
        <v>-44.157365249482659</v>
      </c>
      <c r="AH240" s="159">
        <f t="shared" si="130"/>
        <v>1.8673652875465052</v>
      </c>
      <c r="AJ240" s="159" t="str">
        <f t="shared" si="131"/>
        <v>958.472156495493-12249.1099992311j</v>
      </c>
      <c r="AK240" s="159" t="str">
        <f t="shared" si="132"/>
        <v>29999.9999999999-0.00187250237752438j</v>
      </c>
      <c r="AL240" s="159" t="str">
        <f t="shared" si="146"/>
        <v>10000-10680.8943155745j</v>
      </c>
      <c r="AM240" s="159" t="str">
        <f t="shared" si="147"/>
        <v>679.743182568705-3753.66400326998j</v>
      </c>
      <c r="AN240" s="159" t="str">
        <f t="shared" si="148"/>
        <v>10679.7431825687-3753.66400326998j</v>
      </c>
      <c r="AO240" s="159" t="str">
        <f t="shared" si="149"/>
        <v>8062.74912846964-2024.22796667948j</v>
      </c>
      <c r="AP240" s="159" t="str">
        <f t="shared" si="150"/>
        <v>0.837872095137505+0.331514653021639j</v>
      </c>
      <c r="AQ240" s="159" t="str">
        <f t="shared" si="133"/>
        <v>1+207.847763905207j</v>
      </c>
      <c r="AR240" s="159">
        <f t="shared" si="134"/>
        <v>-6.4864905345937982E-3</v>
      </c>
      <c r="AS240" s="159" t="str">
        <f t="shared" si="135"/>
        <v>0.00566950028192242j</v>
      </c>
      <c r="AT240" s="159" t="str">
        <f t="shared" si="136"/>
        <v>-0.0064864905345938+0.00566950028192242j</v>
      </c>
      <c r="AU240" s="159" t="str">
        <f t="shared" si="137"/>
        <v>2.36851518961675-2.73628196261953j</v>
      </c>
      <c r="AW240" s="159" t="str">
        <f t="shared" si="151"/>
        <v>0.161099294791789-1.8968860244462j</v>
      </c>
      <c r="AX240" s="159">
        <f t="shared" si="138"/>
        <v>5.5920371649518046</v>
      </c>
      <c r="AY240" s="159">
        <f t="shared" si="139"/>
        <v>94.854383938511276</v>
      </c>
      <c r="AZ240" s="159" t="str">
        <f t="shared" si="140"/>
        <v>-0.0016801868918003+0.0104374408978036j</v>
      </c>
      <c r="BA240" s="159">
        <f t="shared" si="141"/>
        <v>-39.517011701210251</v>
      </c>
      <c r="BB240" s="159">
        <f t="shared" si="142"/>
        <v>-80.85515622300538</v>
      </c>
      <c r="BD240" s="159" t="str">
        <f t="shared" si="143"/>
        <v>-0.00138069133186338+0.011714886211064j</v>
      </c>
      <c r="BE240" s="159">
        <f t="shared" si="144"/>
        <v>-38.565328084530861</v>
      </c>
      <c r="BF240" s="159">
        <f t="shared" si="145"/>
        <v>-83.278250773942233</v>
      </c>
      <c r="BH240" s="159">
        <f t="shared" si="152"/>
        <v>39.565328084530861</v>
      </c>
      <c r="BI240" s="169">
        <f t="shared" si="153"/>
        <v>83.278250773942233</v>
      </c>
      <c r="BN240" s="165"/>
      <c r="BO240" s="165"/>
      <c r="BP240" s="165"/>
    </row>
    <row r="241" spans="1:68" s="159" customFormat="1">
      <c r="A241" s="159">
        <v>177</v>
      </c>
      <c r="B241" s="159">
        <f t="shared" si="103"/>
        <v>346736.85045253224</v>
      </c>
      <c r="C241" s="159" t="str">
        <f t="shared" si="104"/>
        <v>2178611.88422108j</v>
      </c>
      <c r="D241" s="159">
        <f t="shared" si="105"/>
        <v>-0.92362309538787657</v>
      </c>
      <c r="E241" s="159" t="str">
        <f t="shared" si="106"/>
        <v>-2.17861188422108j</v>
      </c>
      <c r="F241" s="159" t="str">
        <f t="shared" si="107"/>
        <v>-0.923623095387877-2.17861188422108j</v>
      </c>
      <c r="G241" s="159">
        <f t="shared" si="108"/>
        <v>7.4814377048508396</v>
      </c>
      <c r="H241" s="159">
        <f t="shared" si="109"/>
        <v>-112.97452929864215</v>
      </c>
      <c r="J241" s="159">
        <f t="shared" si="110"/>
        <v>6.3936063936063938</v>
      </c>
      <c r="K241" s="159" t="str">
        <f t="shared" si="111"/>
        <v>1+533.836163050112j</v>
      </c>
      <c r="L241" s="159">
        <f t="shared" si="112"/>
        <v>-2787.4638778372632</v>
      </c>
      <c r="M241" s="159" t="str">
        <f t="shared" si="113"/>
        <v>5.83338022939473j</v>
      </c>
      <c r="N241" s="159" t="str">
        <f t="shared" si="114"/>
        <v>-2787.46387783726+5.83338022939473j</v>
      </c>
      <c r="O241" s="159" t="str">
        <f t="shared" si="115"/>
        <v>0.0000420342224034852-0.191513124920816j</v>
      </c>
      <c r="P241" s="159" t="str">
        <f t="shared" si="116"/>
        <v>0.000268750273109196-1.22445953995327j</v>
      </c>
      <c r="R241" s="159">
        <f t="shared" si="117"/>
        <v>31.968031968031973</v>
      </c>
      <c r="S241" s="159" t="str">
        <f t="shared" si="118"/>
        <v>1+0.0762514159477378j</v>
      </c>
      <c r="T241" s="159" t="str">
        <f t="shared" si="119"/>
        <v>-2787.46387783726+5.83338022939473j</v>
      </c>
      <c r="U241" s="159" t="str">
        <f t="shared" si="120"/>
        <v>-0.000358690226037139-0.0000281057605961034j</v>
      </c>
      <c r="V241" s="159" t="str">
        <f t="shared" si="121"/>
        <v>-0.0114666206125759-0.000898485853222087j</v>
      </c>
      <c r="X241" s="159" t="str">
        <f t="shared" si="122"/>
        <v>-0.104576286862356+0.0443080691943482j</v>
      </c>
      <c r="Y241" s="159">
        <f t="shared" si="123"/>
        <v>-18.894303293302919</v>
      </c>
      <c r="Z241" s="159">
        <f t="shared" si="124"/>
        <v>-22.961953745394055</v>
      </c>
      <c r="AB241" s="159" t="str">
        <f t="shared" si="125"/>
        <v>-0.00505026232661348-0.000395721582568636j</v>
      </c>
      <c r="AC241" s="159">
        <f t="shared" si="126"/>
        <v>-45.907138125651869</v>
      </c>
      <c r="AD241" s="159">
        <f t="shared" si="127"/>
        <v>4.4803502535179405</v>
      </c>
      <c r="AF241" s="159" t="str">
        <f t="shared" si="128"/>
        <v>-0.00564811969233598-0.000162453040151163j</v>
      </c>
      <c r="AG241" s="159">
        <f t="shared" si="129"/>
        <v>-44.958330861958657</v>
      </c>
      <c r="AH241" s="159">
        <f t="shared" si="130"/>
        <v>1.6475054775707179</v>
      </c>
      <c r="AJ241" s="159" t="str">
        <f t="shared" si="131"/>
        <v>874.605313274958-11704.0763149766j</v>
      </c>
      <c r="AK241" s="159" t="str">
        <f t="shared" si="132"/>
        <v>29999.9999999999-0.00196075069579896j</v>
      </c>
      <c r="AL241" s="159" t="str">
        <f t="shared" si="146"/>
        <v>10000-10200.1748834521j</v>
      </c>
      <c r="AM241" s="159" t="str">
        <f t="shared" si="147"/>
        <v>660.979345178739-3612.47348485341j</v>
      </c>
      <c r="AN241" s="159" t="str">
        <f t="shared" si="148"/>
        <v>10660.9793451787-3612.47348485341j</v>
      </c>
      <c r="AO241" s="159" t="str">
        <f t="shared" si="149"/>
        <v>8039.09887637632-1951.08872021891j</v>
      </c>
      <c r="AP241" s="159" t="str">
        <f t="shared" si="150"/>
        <v>0.849583101425637+0.32206355544227j</v>
      </c>
      <c r="AQ241" s="159" t="str">
        <f t="shared" si="133"/>
        <v>1+217.643327233686j</v>
      </c>
      <c r="AR241" s="159">
        <f t="shared" si="134"/>
        <v>-7.112305088490891E-3</v>
      </c>
      <c r="AS241" s="159" t="str">
        <f t="shared" si="135"/>
        <v>0.0059366955983836j</v>
      </c>
      <c r="AT241" s="159" t="str">
        <f t="shared" si="136"/>
        <v>-0.00711230508849089+0.0059366955983836j</v>
      </c>
      <c r="AU241" s="159" t="str">
        <f t="shared" si="137"/>
        <v>2.24568556678431-2.71565227096707j</v>
      </c>
      <c r="AW241" s="159" t="str">
        <f t="shared" si="151"/>
        <v>0.0422429317046617-1.8116911766161j</v>
      </c>
      <c r="AX241" s="159">
        <f t="shared" si="138"/>
        <v>5.1640438953172598</v>
      </c>
      <c r="AY241" s="159">
        <f t="shared" si="139"/>
        <v>91.335715075708407</v>
      </c>
      <c r="AZ241" s="159" t="str">
        <f t="shared" si="140"/>
        <v>-0.000930263186089916+0.00913279925693583j</v>
      </c>
      <c r="BA241" s="159">
        <f t="shared" si="141"/>
        <v>-40.743094230334606</v>
      </c>
      <c r="BB241" s="159">
        <f t="shared" si="142"/>
        <v>-84.183934670773652</v>
      </c>
      <c r="BD241" s="159" t="str">
        <f t="shared" si="143"/>
        <v>-0.000532907873879425+0.0102257861183964j</v>
      </c>
      <c r="BE241" s="159">
        <f t="shared" si="144"/>
        <v>-39.794286966641408</v>
      </c>
      <c r="BF241" s="159">
        <f t="shared" si="145"/>
        <v>-87.016779446720889</v>
      </c>
      <c r="BH241" s="159">
        <f t="shared" si="152"/>
        <v>40.794286966641408</v>
      </c>
      <c r="BI241" s="169">
        <f t="shared" si="153"/>
        <v>87.016779446720889</v>
      </c>
      <c r="BN241" s="165"/>
      <c r="BO241" s="165"/>
      <c r="BP241" s="165"/>
    </row>
    <row r="242" spans="1:68" s="159" customFormat="1">
      <c r="A242" s="159">
        <v>178</v>
      </c>
      <c r="B242" s="159">
        <f t="shared" si="103"/>
        <v>363078.05477010191</v>
      </c>
      <c r="C242" s="159" t="str">
        <f t="shared" si="104"/>
        <v>2281286.69909085j</v>
      </c>
      <c r="D242" s="159">
        <f t="shared" si="105"/>
        <v>-1.1092107816902605</v>
      </c>
      <c r="E242" s="159" t="str">
        <f t="shared" si="106"/>
        <v>-2.28128669909085j</v>
      </c>
      <c r="F242" s="159" t="str">
        <f t="shared" si="107"/>
        <v>-1.10921078169026-2.28128669909085j</v>
      </c>
      <c r="G242" s="159">
        <f t="shared" si="108"/>
        <v>8.0852273992828909</v>
      </c>
      <c r="H242" s="159">
        <f t="shared" si="109"/>
        <v>-115.93002005608963</v>
      </c>
      <c r="J242" s="159">
        <f t="shared" si="110"/>
        <v>6.3936063936063938</v>
      </c>
      <c r="K242" s="159" t="str">
        <f t="shared" si="111"/>
        <v>1+558.995086311726j</v>
      </c>
      <c r="L242" s="159">
        <f t="shared" si="112"/>
        <v>-3056.489842781421</v>
      </c>
      <c r="M242" s="159" t="str">
        <f t="shared" si="113"/>
        <v>6.10829896983492j</v>
      </c>
      <c r="N242" s="159" t="str">
        <f t="shared" si="114"/>
        <v>-3056.48984278142+6.10829896983492j</v>
      </c>
      <c r="O242" s="159" t="str">
        <f t="shared" si="115"/>
        <v>0.0000383229339675025-0.182887848799491j</v>
      </c>
      <c r="P242" s="159" t="str">
        <f t="shared" si="116"/>
        <v>0.00024502175563638-1.16931291939735j</v>
      </c>
      <c r="R242" s="159">
        <f t="shared" si="117"/>
        <v>31.968031968031973</v>
      </c>
      <c r="S242" s="159" t="str">
        <f t="shared" si="118"/>
        <v>1+0.0798450344681797j</v>
      </c>
      <c r="T242" s="159" t="str">
        <f t="shared" si="119"/>
        <v>-3056.48984278142+6.10829896983492j</v>
      </c>
      <c r="U242" s="159" t="str">
        <f t="shared" si="120"/>
        <v>-0.000327119176052157-0.0000267768520113238j</v>
      </c>
      <c r="V242" s="159" t="str">
        <f t="shared" si="121"/>
        <v>-0.0104573562773916-0.00085600326110126j</v>
      </c>
      <c r="X242" s="159" t="str">
        <f t="shared" si="122"/>
        <v>-0.104573913846013+0.0508190012736793j</v>
      </c>
      <c r="Y242" s="159">
        <f t="shared" si="123"/>
        <v>-18.69078743984528</v>
      </c>
      <c r="Z242" s="159">
        <f t="shared" si="124"/>
        <v>-25.91801410622935</v>
      </c>
      <c r="AB242" s="159" t="str">
        <f t="shared" si="125"/>
        <v>-0.0046057503974418-0.000377010905572015j</v>
      </c>
      <c r="AC242" s="159">
        <f t="shared" si="126"/>
        <v>-46.704989203981498</v>
      </c>
      <c r="AD242" s="159">
        <f t="shared" si="127"/>
        <v>4.6796024074533022</v>
      </c>
      <c r="AF242" s="159" t="str">
        <f t="shared" si="128"/>
        <v>-0.00515094554642238-0.000128704087439222j</v>
      </c>
      <c r="AG242" s="159">
        <f t="shared" si="129"/>
        <v>-45.759550262186565</v>
      </c>
      <c r="AH242" s="159">
        <f t="shared" si="130"/>
        <v>1.4313230244241595</v>
      </c>
      <c r="AJ242" s="159" t="str">
        <f t="shared" si="131"/>
        <v>798.039454465694-11182.770099911j</v>
      </c>
      <c r="AK242" s="159" t="str">
        <f t="shared" si="132"/>
        <v>29999.9999999999-0.00205315802918176j</v>
      </c>
      <c r="AL242" s="159" t="str">
        <f t="shared" si="146"/>
        <v>10000-9741.09138981891j</v>
      </c>
      <c r="AM242" s="159" t="str">
        <f t="shared" si="147"/>
        <v>641.560889813221-3477.3131527469j</v>
      </c>
      <c r="AN242" s="159" t="str">
        <f t="shared" si="148"/>
        <v>10641.5608898132-3477.3131527469j</v>
      </c>
      <c r="AO242" s="159" t="str">
        <f t="shared" si="149"/>
        <v>8016.11645250052-1880.95267811895j</v>
      </c>
      <c r="AP242" s="159" t="str">
        <f t="shared" si="150"/>
        <v>0.860622115826995+0.312491936126536j</v>
      </c>
      <c r="AQ242" s="159" t="str">
        <f t="shared" si="133"/>
        <v>1+227.900541239176j</v>
      </c>
      <c r="AR242" s="159">
        <f t="shared" si="134"/>
        <v>-7.7984971016680721E-3</v>
      </c>
      <c r="AS242" s="159" t="str">
        <f t="shared" si="135"/>
        <v>0.00621648344215558j</v>
      </c>
      <c r="AT242" s="159" t="str">
        <f t="shared" si="136"/>
        <v>-0.00779849710166807+0.00621648344215558j</v>
      </c>
      <c r="AU242" s="159" t="str">
        <f t="shared" si="137"/>
        <v>2.12486041599348-2.68973897399724j</v>
      </c>
      <c r="AW242" s="159" t="str">
        <f t="shared" si="151"/>
        <v>-0.064224107097914-1.71943058421557j</v>
      </c>
      <c r="AX242" s="159">
        <f t="shared" si="138"/>
        <v>4.7137478685563208</v>
      </c>
      <c r="AY242" s="159">
        <f t="shared" si="139"/>
        <v>87.860884618456311</v>
      </c>
      <c r="AZ242" s="159" t="str">
        <f t="shared" si="140"/>
        <v>-0.000352443874831769+0.00794348128540098j</v>
      </c>
      <c r="BA242" s="159">
        <f t="shared" si="141"/>
        <v>-41.991241335425187</v>
      </c>
      <c r="BB242" s="159">
        <f t="shared" si="142"/>
        <v>-87.459512974090416</v>
      </c>
      <c r="BD242" s="159" t="str">
        <f t="shared" si="143"/>
        <v>0.000109517134172399+0.00886495921524325j</v>
      </c>
      <c r="BE242" s="159">
        <f t="shared" si="144"/>
        <v>-41.045802393630247</v>
      </c>
      <c r="BF242" s="159">
        <f t="shared" si="145"/>
        <v>-90.70779235711953</v>
      </c>
      <c r="BH242" s="159">
        <f t="shared" si="152"/>
        <v>42.045802393630247</v>
      </c>
      <c r="BI242" s="169">
        <f t="shared" si="153"/>
        <v>90.70779235711953</v>
      </c>
      <c r="BN242" s="165"/>
      <c r="BO242" s="165"/>
      <c r="BP242" s="165"/>
    </row>
    <row r="243" spans="1:68" s="159" customFormat="1">
      <c r="A243" s="159">
        <v>179</v>
      </c>
      <c r="B243" s="159">
        <f t="shared" si="103"/>
        <v>380189.3963205617</v>
      </c>
      <c r="C243" s="159" t="str">
        <f t="shared" si="104"/>
        <v>2388800.42890683j</v>
      </c>
      <c r="D243" s="159">
        <f t="shared" si="105"/>
        <v>-1.3127036331934923</v>
      </c>
      <c r="E243" s="159" t="str">
        <f t="shared" si="106"/>
        <v>-2.38880042890683j</v>
      </c>
      <c r="F243" s="159" t="str">
        <f t="shared" si="107"/>
        <v>-1.31270363319349-2.38880042890683j</v>
      </c>
      <c r="G243" s="159">
        <f t="shared" si="108"/>
        <v>8.7096299601254739</v>
      </c>
      <c r="H243" s="159">
        <f t="shared" si="109"/>
        <v>-118.78985932150525</v>
      </c>
      <c r="J243" s="159">
        <f t="shared" si="110"/>
        <v>6.3936063936063938</v>
      </c>
      <c r="K243" s="159" t="str">
        <f t="shared" si="111"/>
        <v>1+585.339713097185j</v>
      </c>
      <c r="L243" s="159">
        <f t="shared" si="112"/>
        <v>-3351.47094753908</v>
      </c>
      <c r="M243" s="159" t="str">
        <f t="shared" si="113"/>
        <v>6.39617423134404j</v>
      </c>
      <c r="N243" s="159" t="str">
        <f t="shared" si="114"/>
        <v>-3351.47094753908+6.39617423134404j</v>
      </c>
      <c r="O243" s="159" t="str">
        <f t="shared" si="115"/>
        <v>0.0000349403419614568-0.174651518325848j</v>
      </c>
      <c r="P243" s="159" t="str">
        <f t="shared" si="116"/>
        <v>0.000223394793759564-1.11665306422121j</v>
      </c>
      <c r="R243" s="159">
        <f t="shared" si="117"/>
        <v>31.968031968031973</v>
      </c>
      <c r="S243" s="159" t="str">
        <f t="shared" si="118"/>
        <v>1+0.083608015011739j</v>
      </c>
      <c r="T243" s="159" t="str">
        <f t="shared" si="119"/>
        <v>-3351.47094753908+6.39617423134404j</v>
      </c>
      <c r="U243" s="159" t="str">
        <f t="shared" si="120"/>
        <v>-0.000298327752439213-0.0000255160115164293j</v>
      </c>
      <c r="V243" s="159" t="str">
        <f t="shared" si="121"/>
        <v>-0.00953695112692789-0.000815696671853884j</v>
      </c>
      <c r="X243" s="159" t="str">
        <f t="shared" si="122"/>
        <v>-0.104571749271929+0.0574374715290994j</v>
      </c>
      <c r="Y243" s="159">
        <f t="shared" si="123"/>
        <v>-18.466634617578251</v>
      </c>
      <c r="Z243" s="159">
        <f t="shared" si="124"/>
        <v>-28.778396872614934</v>
      </c>
      <c r="AB243" s="159" t="str">
        <f t="shared" si="125"/>
        <v>-0.00420037486321422-0.000359258609052581j</v>
      </c>
      <c r="AC243" s="159">
        <f t="shared" si="126"/>
        <v>-47.502584234306788</v>
      </c>
      <c r="AD243" s="159">
        <f t="shared" si="127"/>
        <v>4.8886179121826956</v>
      </c>
      <c r="AF243" s="159" t="str">
        <f t="shared" si="128"/>
        <v>-0.00469732004173137-0.000099903507422097j</v>
      </c>
      <c r="AG243" s="159">
        <f t="shared" si="129"/>
        <v>-46.561032955692653</v>
      </c>
      <c r="AH243" s="159">
        <f t="shared" si="130"/>
        <v>1.2183939890399529</v>
      </c>
      <c r="AJ243" s="159" t="str">
        <f t="shared" si="131"/>
        <v>728.145264468548-10684.2259255235j</v>
      </c>
      <c r="AK243" s="159" t="str">
        <f t="shared" si="132"/>
        <v>29999.9999999998-0.00214992038601614j</v>
      </c>
      <c r="AL243" s="159" t="str">
        <f t="shared" si="146"/>
        <v>10000-9302.67005703431j</v>
      </c>
      <c r="AM243" s="159" t="str">
        <f t="shared" si="147"/>
        <v>621.539441699908-3347.81495439813j</v>
      </c>
      <c r="AN243" s="159" t="str">
        <f t="shared" si="148"/>
        <v>10621.5394416999-3347.81495439813j</v>
      </c>
      <c r="AO243" s="159" t="str">
        <f t="shared" si="149"/>
        <v>7993.73730858749-1813.6412846693j</v>
      </c>
      <c r="AP243" s="159" t="str">
        <f t="shared" si="150"/>
        <v>0.871002533728187+0.302848984038155j</v>
      </c>
      <c r="AQ243" s="159" t="str">
        <f t="shared" si="133"/>
        <v>1+238.641162847792j</v>
      </c>
      <c r="AR243" s="159">
        <f t="shared" si="134"/>
        <v>-8.5508916824844731E-3</v>
      </c>
      <c r="AS243" s="159" t="str">
        <f t="shared" si="135"/>
        <v>0.00650945728076682j</v>
      </c>
      <c r="AT243" s="159" t="str">
        <f t="shared" si="136"/>
        <v>-0.00855089168248447+0.00650945728076682j</v>
      </c>
      <c r="AU243" s="159" t="str">
        <f t="shared" si="137"/>
        <v>2.00648942857174-2.65878905402823j</v>
      </c>
      <c r="AW243" s="159" t="str">
        <f t="shared" si="151"/>
        <v>-0.158045246717085-1.62196534915578j</v>
      </c>
      <c r="AX243" s="159">
        <f t="shared" si="138"/>
        <v>4.2418717279469442</v>
      </c>
      <c r="AY243" s="159">
        <f t="shared" si="139"/>
        <v>84.434635314761124</v>
      </c>
      <c r="AZ243" s="159" t="str">
        <f t="shared" si="140"/>
        <v>0.0000811442662917453+0.00686964159710137j</v>
      </c>
      <c r="BA243" s="159">
        <f t="shared" si="141"/>
        <v>-43.260712506359837</v>
      </c>
      <c r="BB243" s="159">
        <f t="shared" si="142"/>
        <v>-90.67674677305618</v>
      </c>
      <c r="BD243" s="159" t="str">
        <f t="shared" si="143"/>
        <v>0.000580349077606776+0.0076346796160617j</v>
      </c>
      <c r="BE243" s="159">
        <f t="shared" si="144"/>
        <v>-42.319161227745695</v>
      </c>
      <c r="BF243" s="159">
        <f t="shared" si="145"/>
        <v>-94.346970696198937</v>
      </c>
      <c r="BH243" s="159">
        <f t="shared" si="152"/>
        <v>43.319161227745695</v>
      </c>
      <c r="BI243" s="169">
        <f t="shared" si="153"/>
        <v>94.346970696198937</v>
      </c>
      <c r="BN243" s="165"/>
      <c r="BO243" s="165"/>
      <c r="BP243" s="165"/>
    </row>
    <row r="244" spans="1:68" s="159" customFormat="1">
      <c r="A244" s="159">
        <v>180</v>
      </c>
      <c r="B244" s="159">
        <f t="shared" si="103"/>
        <v>398107.17055349768</v>
      </c>
      <c r="C244" s="159" t="str">
        <f t="shared" si="104"/>
        <v>2501381.12470457j</v>
      </c>
      <c r="D244" s="159">
        <f t="shared" si="105"/>
        <v>-1.5358291079377788</v>
      </c>
      <c r="E244" s="159" t="str">
        <f t="shared" si="106"/>
        <v>-2.50138112470457j</v>
      </c>
      <c r="F244" s="159" t="str">
        <f t="shared" si="107"/>
        <v>-1.53582910793778-2.50138112470457j</v>
      </c>
      <c r="G244" s="159">
        <f t="shared" si="108"/>
        <v>9.3528948861681389</v>
      </c>
      <c r="H244" s="159">
        <f t="shared" si="109"/>
        <v>-121.54961056013583</v>
      </c>
      <c r="J244" s="159">
        <f t="shared" si="110"/>
        <v>6.3936063936063938</v>
      </c>
      <c r="K244" s="159" t="str">
        <f t="shared" si="111"/>
        <v>1+612.925923891984j</v>
      </c>
      <c r="L244" s="159">
        <f t="shared" si="112"/>
        <v>-3674.9112971800673</v>
      </c>
      <c r="M244" s="159" t="str">
        <f t="shared" si="113"/>
        <v>6.69761663594785j</v>
      </c>
      <c r="N244" s="159" t="str">
        <f t="shared" si="114"/>
        <v>-3674.91129718007+6.69761663594785j</v>
      </c>
      <c r="O244" s="159" t="str">
        <f t="shared" si="115"/>
        <v>0.0000318571637936065-0.166786531962075j</v>
      </c>
      <c r="P244" s="159" t="str">
        <f t="shared" si="116"/>
        <v>0.000203682166112969-1.06636743712016j</v>
      </c>
      <c r="R244" s="159">
        <f t="shared" si="117"/>
        <v>31.968031968031973</v>
      </c>
      <c r="S244" s="159" t="str">
        <f t="shared" si="118"/>
        <v>1+0.0875483393646599j</v>
      </c>
      <c r="T244" s="159" t="str">
        <f t="shared" si="119"/>
        <v>-3674.91129718007+6.69761663594785j</v>
      </c>
      <c r="U244" s="159" t="str">
        <f t="shared" si="120"/>
        <v>-0.000272071089362175-0.0000243191086782178j</v>
      </c>
      <c r="V244" s="159" t="str">
        <f t="shared" si="121"/>
        <v>-0.0086975772823073-0.00077743404365931j</v>
      </c>
      <c r="X244" s="159" t="str">
        <f t="shared" si="122"/>
        <v>-0.104569774859642+0.0641775516421385j</v>
      </c>
      <c r="Y244" s="159">
        <f t="shared" si="123"/>
        <v>-18.223597449700911</v>
      </c>
      <c r="Z244" s="159">
        <f t="shared" si="124"/>
        <v>-31.538666744775327</v>
      </c>
      <c r="AB244" s="159" t="str">
        <f t="shared" si="125"/>
        <v>-0.00383068807853217-0.000342406537616961j</v>
      </c>
      <c r="AC244" s="159">
        <f t="shared" si="126"/>
        <v>-48.299903250549534</v>
      </c>
      <c r="AD244" s="159">
        <f t="shared" si="127"/>
        <v>5.1078160418129244</v>
      </c>
      <c r="AF244" s="159" t="str">
        <f t="shared" si="128"/>
        <v>-0.00428344526069867-0.0000753889094838372j</v>
      </c>
      <c r="AG244" s="159">
        <f t="shared" si="129"/>
        <v>-47.362790501866883</v>
      </c>
      <c r="AH244" s="159">
        <f t="shared" si="130"/>
        <v>1.0083052666725223</v>
      </c>
      <c r="AJ244" s="159" t="str">
        <f t="shared" si="131"/>
        <v>664.346621129067-10207.5088241364j</v>
      </c>
      <c r="AK244" s="159" t="str">
        <f t="shared" si="132"/>
        <v>29999.9999999998-0.0022512430122341j</v>
      </c>
      <c r="AL244" s="159" t="str">
        <f t="shared" si="146"/>
        <v>10000-8883.98093467134j</v>
      </c>
      <c r="AM244" s="159" t="str">
        <f t="shared" si="147"/>
        <v>600.975133342112-3223.62893471279j</v>
      </c>
      <c r="AN244" s="159" t="str">
        <f t="shared" si="148"/>
        <v>10600.9751333421-3223.62893471279j</v>
      </c>
      <c r="AO244" s="159" t="str">
        <f t="shared" si="149"/>
        <v>7971.91003762503-1748.98247799762j</v>
      </c>
      <c r="AP244" s="159" t="str">
        <f t="shared" si="150"/>
        <v>0.880741446882917+0.293180087397182j</v>
      </c>
      <c r="AQ244" s="159" t="str">
        <f t="shared" si="133"/>
        <v>1+249.887974357987j</v>
      </c>
      <c r="AR244" s="159">
        <f t="shared" si="134"/>
        <v>-9.375875935245909E-3</v>
      </c>
      <c r="AS244" s="159" t="str">
        <f t="shared" si="135"/>
        <v>0.00681623855100871j</v>
      </c>
      <c r="AT244" s="159" t="str">
        <f t="shared" si="136"/>
        <v>-0.00937587593524591+0.00681623855100871j</v>
      </c>
      <c r="AU244" s="159" t="str">
        <f t="shared" si="137"/>
        <v>1.89098391988359-2.62309343996295j</v>
      </c>
      <c r="AW244" s="159" t="str">
        <f t="shared" si="151"/>
        <v>-0.239250021756463-1.52108035280524j</v>
      </c>
      <c r="AX244" s="159">
        <f t="shared" si="138"/>
        <v>3.7491800154433945</v>
      </c>
      <c r="AY244" s="159">
        <f t="shared" si="139"/>
        <v>81.061208575221471</v>
      </c>
      <c r="AZ244" s="159" t="str">
        <f t="shared" si="140"/>
        <v>0.000395664349089818+0.00590870514555496j</v>
      </c>
      <c r="BA244" s="159">
        <f t="shared" si="141"/>
        <v>-44.550723235106133</v>
      </c>
      <c r="BB244" s="159">
        <f t="shared" si="142"/>
        <v>-93.83097538296559</v>
      </c>
      <c r="BD244" s="159" t="str">
        <f t="shared" si="143"/>
        <v>0.0009101417827795+0.00653350122659968j</v>
      </c>
      <c r="BE244" s="159">
        <f t="shared" si="144"/>
        <v>-43.613610486423475</v>
      </c>
      <c r="BF244" s="159">
        <f t="shared" si="145"/>
        <v>-97.930486158106007</v>
      </c>
      <c r="BH244" s="159">
        <f t="shared" si="152"/>
        <v>44.613610486423475</v>
      </c>
      <c r="BI244" s="169">
        <f t="shared" si="153"/>
        <v>97.930486158106007</v>
      </c>
      <c r="BN244" s="165"/>
      <c r="BO244" s="165"/>
      <c r="BP244" s="165"/>
    </row>
    <row r="245" spans="1:68" s="159" customFormat="1">
      <c r="A245" s="159">
        <v>181</v>
      </c>
      <c r="B245" s="159">
        <f t="shared" si="103"/>
        <v>416869.38347033586</v>
      </c>
      <c r="C245" s="159" t="str">
        <f t="shared" si="104"/>
        <v>2619267.58523383j</v>
      </c>
      <c r="D245" s="159">
        <f t="shared" si="105"/>
        <v>-1.780481325999014</v>
      </c>
      <c r="E245" s="159" t="str">
        <f t="shared" si="106"/>
        <v>-2.61926758523383j</v>
      </c>
      <c r="F245" s="159" t="str">
        <f t="shared" si="107"/>
        <v>-1.78048132599901-2.61926758523383j</v>
      </c>
      <c r="G245" s="159">
        <f t="shared" si="108"/>
        <v>10.013302213760664</v>
      </c>
      <c r="H245" s="159">
        <f t="shared" si="109"/>
        <v>-124.20641763136693</v>
      </c>
      <c r="J245" s="159">
        <f t="shared" si="110"/>
        <v>6.3936063936063938</v>
      </c>
      <c r="K245" s="159" t="str">
        <f t="shared" si="111"/>
        <v>1+641.812232747772j</v>
      </c>
      <c r="L245" s="159">
        <f t="shared" si="112"/>
        <v>-4029.556588314379</v>
      </c>
      <c r="M245" s="159" t="str">
        <f t="shared" si="113"/>
        <v>7.01326558340164j</v>
      </c>
      <c r="N245" s="159" t="str">
        <f t="shared" si="114"/>
        <v>-4029.55658831438+7.01326558340164j</v>
      </c>
      <c r="O245" s="159" t="str">
        <f t="shared" si="115"/>
        <v>0.0000290467542046514-0.159276092783114j</v>
      </c>
      <c r="P245" s="159" t="str">
        <f t="shared" si="116"/>
        <v>0.000185713513396373-1.01834864516676j</v>
      </c>
      <c r="R245" s="159">
        <f t="shared" si="117"/>
        <v>31.968031968031973</v>
      </c>
      <c r="S245" s="159" t="str">
        <f t="shared" si="118"/>
        <v>1+0.091674365483184j</v>
      </c>
      <c r="T245" s="159" t="str">
        <f t="shared" si="119"/>
        <v>-4029.55658831438+7.01326558340164j</v>
      </c>
      <c r="U245" s="159" t="str">
        <f t="shared" si="120"/>
        <v>-0.000248125915147567-0.0000231823369090134j</v>
      </c>
      <c r="V245" s="159" t="str">
        <f t="shared" si="121"/>
        <v>-0.00793209718753461-0.000741093687401028j</v>
      </c>
      <c r="X245" s="159" t="str">
        <f t="shared" si="122"/>
        <v>-0.104567973927032+0.0710535669805825j</v>
      </c>
      <c r="Y245" s="159">
        <f t="shared" si="123"/>
        <v>-17.96339783493163</v>
      </c>
      <c r="Z245" s="159">
        <f t="shared" si="124"/>
        <v>-34.195968753717068</v>
      </c>
      <c r="AB245" s="159" t="str">
        <f t="shared" si="125"/>
        <v>-0.00349354643802449-0.000326401095530072j</v>
      </c>
      <c r="AC245" s="159">
        <f t="shared" si="126"/>
        <v>-49.096924032871662</v>
      </c>
      <c r="AD245" s="159">
        <f t="shared" si="127"/>
        <v>5.3376341779851941</v>
      </c>
      <c r="AF245" s="159" t="str">
        <f t="shared" si="128"/>
        <v>-0.00390585185053003-0.0000545841426585533j</v>
      </c>
      <c r="AG245" s="159">
        <f t="shared" si="129"/>
        <v>-48.164836578873881</v>
      </c>
      <c r="AH245" s="159">
        <f t="shared" si="130"/>
        <v>0.80065438991641713</v>
      </c>
      <c r="AJ245" s="159" t="str">
        <f t="shared" si="131"/>
        <v>606.116276446328-9751.71454666939j</v>
      </c>
      <c r="AK245" s="159" t="str">
        <f t="shared" si="132"/>
        <v>29999.9999999998-0.00235734082671043j</v>
      </c>
      <c r="AL245" s="159" t="str">
        <f t="shared" si="146"/>
        <v>10000-8484.13592696694j</v>
      </c>
      <c r="AM245" s="159" t="str">
        <f t="shared" si="147"/>
        <v>579.936110479223-3104.42393254709j</v>
      </c>
      <c r="AN245" s="159" t="str">
        <f t="shared" si="148"/>
        <v>10579.9361104792-3104.42393254709j</v>
      </c>
      <c r="AO245" s="159" t="str">
        <f t="shared" si="149"/>
        <v>7950.5955174082-1686.81155598824j</v>
      </c>
      <c r="AP245" s="159" t="str">
        <f t="shared" si="150"/>
        <v>0.889859000219952+0.283526685284401j</v>
      </c>
      <c r="AQ245" s="159" t="str">
        <f t="shared" si="133"/>
        <v>1+261.66483176486j</v>
      </c>
      <c r="AR245" s="159">
        <f t="shared" si="134"/>
        <v>-1.0280453180560407E-2</v>
      </c>
      <c r="AS245" s="159" t="str">
        <f t="shared" si="135"/>
        <v>0.00713747797708633j</v>
      </c>
      <c r="AT245" s="159" t="str">
        <f t="shared" si="136"/>
        <v>-0.0102804531805604+0.00713747797708633j</v>
      </c>
      <c r="AU245" s="159" t="str">
        <f t="shared" si="137"/>
        <v>1.77871192597861-2.58298025379736j</v>
      </c>
      <c r="AW245" s="159" t="str">
        <f t="shared" si="151"/>
        <v>-0.308120807880382-1.4184416876755j</v>
      </c>
      <c r="AX245" s="159">
        <f t="shared" si="138"/>
        <v>3.2364706734005573</v>
      </c>
      <c r="AY245" s="159">
        <f t="shared" si="139"/>
        <v>77.744332376415329</v>
      </c>
      <c r="AZ245" s="159" t="str">
        <f t="shared" si="140"/>
        <v>0.000613453430048931+0.00505596287477196j</v>
      </c>
      <c r="BA245" s="159">
        <f t="shared" si="141"/>
        <v>-45.860453359471094</v>
      </c>
      <c r="BB245" s="159">
        <f t="shared" si="142"/>
        <v>-96.918033445599491</v>
      </c>
      <c r="BD245" s="159" t="str">
        <f t="shared" si="143"/>
        <v>0.00112604980421348+0.00555704160080971j</v>
      </c>
      <c r="BE245" s="159">
        <f t="shared" si="144"/>
        <v>-44.928365905473314</v>
      </c>
      <c r="BF245" s="159">
        <f t="shared" si="145"/>
        <v>-101.45501323366827</v>
      </c>
      <c r="BH245" s="159">
        <f t="shared" si="152"/>
        <v>45.928365905473314</v>
      </c>
      <c r="BI245" s="169">
        <f t="shared" si="153"/>
        <v>101.45501323366827</v>
      </c>
      <c r="BN245" s="165"/>
      <c r="BO245" s="165"/>
      <c r="BP245" s="165"/>
    </row>
    <row r="246" spans="1:68" s="159" customFormat="1">
      <c r="A246" s="159">
        <v>182</v>
      </c>
      <c r="B246" s="159">
        <f t="shared" si="103"/>
        <v>436515.83224016632</v>
      </c>
      <c r="C246" s="159" t="str">
        <f t="shared" si="104"/>
        <v>2742709.86348268j</v>
      </c>
      <c r="D246" s="159">
        <f t="shared" si="105"/>
        <v>-2.0487371487411954</v>
      </c>
      <c r="E246" s="159" t="str">
        <f t="shared" si="106"/>
        <v>-2.74270986348268j</v>
      </c>
      <c r="F246" s="159" t="str">
        <f t="shared" si="107"/>
        <v>-2.0487371487412-2.74270986348268j</v>
      </c>
      <c r="G246" s="159">
        <f t="shared" si="108"/>
        <v>10.689195074890145</v>
      </c>
      <c r="H246" s="159">
        <f t="shared" si="109"/>
        <v>-126.75883128102217</v>
      </c>
      <c r="J246" s="159">
        <f t="shared" si="110"/>
        <v>6.3936063936063938</v>
      </c>
      <c r="K246" s="159" t="str">
        <f t="shared" si="111"/>
        <v>1+672.059911398479j</v>
      </c>
      <c r="L246" s="159">
        <f t="shared" si="112"/>
        <v>-4418.417417407959</v>
      </c>
      <c r="M246" s="159" t="str">
        <f t="shared" si="113"/>
        <v>7.34379060744269j</v>
      </c>
      <c r="N246" s="159" t="str">
        <f t="shared" si="114"/>
        <v>-4418.41741740796+7.34379060744269j</v>
      </c>
      <c r="O246" s="159" t="str">
        <f t="shared" si="115"/>
        <v>0.0000264848629683189-0.15210417065879j</v>
      </c>
      <c r="P246" s="159" t="str">
        <f t="shared" si="116"/>
        <v>0.000169333789208033-0.972494198018238j</v>
      </c>
      <c r="R246" s="159">
        <f t="shared" si="117"/>
        <v>31.968031968031973</v>
      </c>
      <c r="S246" s="159" t="str">
        <f t="shared" si="118"/>
        <v>1+0.0959948452218938j</v>
      </c>
      <c r="T246" s="159" t="str">
        <f t="shared" si="119"/>
        <v>-4418.41741740796+7.34379060744269j</v>
      </c>
      <c r="U246" s="159" t="str">
        <f t="shared" si="120"/>
        <v>-0.000226288644045105-0.000022102181033383j</v>
      </c>
      <c r="V246" s="159" t="str">
        <f t="shared" si="121"/>
        <v>-0.00723400260683652-0.000706563229838418j</v>
      </c>
      <c r="X246" s="159" t="str">
        <f t="shared" si="122"/>
        <v>-0.104566331251391+0.0780801275355919j</v>
      </c>
      <c r="Y246" s="159">
        <f t="shared" si="123"/>
        <v>-17.68769440591295</v>
      </c>
      <c r="Z246" s="159">
        <f t="shared" si="124"/>
        <v>-36.748854757385914</v>
      </c>
      <c r="AB246" s="159" t="str">
        <f t="shared" si="125"/>
        <v>-0.00318608350884674-0.000311192790063166j</v>
      </c>
      <c r="AC246" s="159">
        <f t="shared" si="126"/>
        <v>-49.893621936950218</v>
      </c>
      <c r="AD246" s="159">
        <f t="shared" si="127"/>
        <v>5.5785282310058619</v>
      </c>
      <c r="AF246" s="159" t="str">
        <f t="shared" si="128"/>
        <v>-0.00356137105836698-0.0000369882044647629j</v>
      </c>
      <c r="AG246" s="159">
        <f t="shared" si="129"/>
        <v>-48.967187059795648</v>
      </c>
      <c r="AH246" s="159">
        <f t="shared" si="130"/>
        <v>0.59504942829565266</v>
      </c>
      <c r="AJ246" s="159" t="str">
        <f t="shared" si="131"/>
        <v>552.971857892277-9315.96960828087j</v>
      </c>
      <c r="AK246" s="159" t="str">
        <f t="shared" si="132"/>
        <v>29999.9999999998-0.0024684388771344j</v>
      </c>
      <c r="AL246" s="159" t="str">
        <f t="shared" si="146"/>
        <v>10000-8102.2869090515j</v>
      </c>
      <c r="AM246" s="159" t="str">
        <f t="shared" si="147"/>
        <v>558.497801259798-2989.8882426104j</v>
      </c>
      <c r="AN246" s="159" t="str">
        <f t="shared" si="148"/>
        <v>10558.4978012598-2989.8882426104j</v>
      </c>
      <c r="AO246" s="159" t="str">
        <f t="shared" si="149"/>
        <v>7929.76595596084-1626.97198727973j</v>
      </c>
      <c r="AP246" s="159" t="str">
        <f t="shared" si="150"/>
        <v>0.898377780851569+0.273926212194574j</v>
      </c>
      <c r="AQ246" s="159" t="str">
        <f t="shared" si="133"/>
        <v>1+273.99671536192j</v>
      </c>
      <c r="AR246" s="159">
        <f t="shared" si="134"/>
        <v>-1.1272302406774903E-2</v>
      </c>
      <c r="AS246" s="159" t="str">
        <f t="shared" si="135"/>
        <v>0.00747385695089167j</v>
      </c>
      <c r="AT246" s="159" t="str">
        <f t="shared" si="136"/>
        <v>-0.0112723024067749+0.00747385695089167j</v>
      </c>
      <c r="AU246" s="159" t="str">
        <f t="shared" si="137"/>
        <v>1.66999462287766-2.53880754360723j</v>
      </c>
      <c r="AW246" s="159" t="str">
        <f t="shared" si="151"/>
        <v>-0.36515429368981-1.31556394565328j</v>
      </c>
      <c r="AX246" s="159">
        <f t="shared" si="138"/>
        <v>2.7045666117066554</v>
      </c>
      <c r="AY246" s="159">
        <f t="shared" si="139"/>
        <v>74.487216201185035</v>
      </c>
      <c r="AZ246" s="159" t="str">
        <f t="shared" si="140"/>
        <v>0.000754018058555331+0.00430512997553614j</v>
      </c>
      <c r="BA246" s="159">
        <f t="shared" si="141"/>
        <v>-47.189055325243565</v>
      </c>
      <c r="BB246" s="159">
        <f t="shared" si="142"/>
        <v>-99.934255567809089</v>
      </c>
      <c r="BD246" s="159" t="str">
        <f t="shared" si="143"/>
        <v>0.00125178958517703+0.00469871776315685j</v>
      </c>
      <c r="BE246" s="159">
        <f t="shared" si="144"/>
        <v>-46.262620448088981</v>
      </c>
      <c r="BF246" s="159">
        <f t="shared" si="145"/>
        <v>-104.91773437051926</v>
      </c>
      <c r="BH246" s="159">
        <f t="shared" si="152"/>
        <v>47.262620448088981</v>
      </c>
      <c r="BI246" s="169">
        <f t="shared" si="153"/>
        <v>104.91773437051926</v>
      </c>
      <c r="BN246" s="165"/>
      <c r="BO246" s="165"/>
      <c r="BP246" s="165"/>
    </row>
    <row r="247" spans="1:68" s="159" customFormat="1">
      <c r="A247" s="159">
        <v>183</v>
      </c>
      <c r="B247" s="159">
        <f t="shared" si="103"/>
        <v>457088.1896148753</v>
      </c>
      <c r="C247" s="159" t="str">
        <f t="shared" si="104"/>
        <v>2871969.7970735j</v>
      </c>
      <c r="D247" s="159">
        <f t="shared" si="105"/>
        <v>-2.3428738093664645</v>
      </c>
      <c r="E247" s="159" t="str">
        <f t="shared" si="106"/>
        <v>-2.8719697970735j</v>
      </c>
      <c r="F247" s="159" t="str">
        <f t="shared" si="107"/>
        <v>-2.34287380936646-2.8719697970735j</v>
      </c>
      <c r="G247" s="159">
        <f t="shared" si="108"/>
        <v>11.379003773531212</v>
      </c>
      <c r="H247" s="159">
        <f t="shared" si="109"/>
        <v>-129.20661752415549</v>
      </c>
      <c r="J247" s="159">
        <f t="shared" si="110"/>
        <v>6.3936063936063938</v>
      </c>
      <c r="K247" s="159" t="str">
        <f t="shared" si="111"/>
        <v>1+703.733119225905j</v>
      </c>
      <c r="L247" s="159">
        <f t="shared" si="112"/>
        <v>-4844.7948378432548</v>
      </c>
      <c r="M247" s="159" t="str">
        <f t="shared" si="113"/>
        <v>7.6898927959613j</v>
      </c>
      <c r="N247" s="159" t="str">
        <f t="shared" si="114"/>
        <v>-4844.79483784325+7.6898927959613j</v>
      </c>
      <c r="O247" s="159" t="str">
        <f t="shared" si="115"/>
        <v>0.0000241494156389938-0.145255466345561j</v>
      </c>
      <c r="P247" s="159" t="str">
        <f t="shared" si="116"/>
        <v>0.000154401858231329-0.928706278333257j</v>
      </c>
      <c r="R247" s="159">
        <f t="shared" si="117"/>
        <v>31.968031968031973</v>
      </c>
      <c r="S247" s="159" t="str">
        <f t="shared" si="118"/>
        <v>1+0.100518942897573j</v>
      </c>
      <c r="T247" s="159" t="str">
        <f t="shared" si="119"/>
        <v>-4844.79483784325+7.6898927959613j</v>
      </c>
      <c r="U247" s="159" t="str">
        <f t="shared" si="120"/>
        <v>-0.000206373637271685-0.0000210753886308134j</v>
      </c>
      <c r="V247" s="159" t="str">
        <f t="shared" si="121"/>
        <v>-0.00659735903366026-0.00067373869748854j</v>
      </c>
      <c r="X247" s="159" t="str">
        <f t="shared" si="122"/>
        <v>-0.104564832942432+0.0852721593912655j</v>
      </c>
      <c r="Y247" s="159">
        <f t="shared" si="123"/>
        <v>-17.398058467887655</v>
      </c>
      <c r="Z247" s="159">
        <f t="shared" si="124"/>
        <v>-39.197091827010468</v>
      </c>
      <c r="AB247" s="159" t="str">
        <f t="shared" si="125"/>
        <v>-0.00290568554664623-0.000296735828006404j</v>
      </c>
      <c r="AC247" s="159">
        <f t="shared" si="126"/>
        <v>-50.689969706180626</v>
      </c>
      <c r="AD247" s="159">
        <f t="shared" si="127"/>
        <v>5.8309730290426955</v>
      </c>
      <c r="AF247" s="159" t="str">
        <f t="shared" si="128"/>
        <v>-0.00324710906959495-0.0000221655644018317j</v>
      </c>
      <c r="AG247" s="159">
        <f t="shared" si="129"/>
        <v>-49.769860099459471</v>
      </c>
      <c r="AH247" s="159">
        <f t="shared" si="130"/>
        <v>0.39110899506502506</v>
      </c>
      <c r="AJ247" s="159" t="str">
        <f t="shared" si="131"/>
        <v>504.472171816572-8899.43115535891j</v>
      </c>
      <c r="AK247" s="159" t="str">
        <f t="shared" si="132"/>
        <v>29999.9999999998-0.00258477281736613j</v>
      </c>
      <c r="AL247" s="159" t="str">
        <f t="shared" si="146"/>
        <v>9999.99999999992-7737.62392796272j</v>
      </c>
      <c r="AM247" s="159" t="str">
        <f t="shared" si="147"/>
        <v>536.741957802302-2879.73019228749j</v>
      </c>
      <c r="AN247" s="159" t="str">
        <f t="shared" si="148"/>
        <v>10536.7419578023-2879.73019228749j</v>
      </c>
      <c r="AO247" s="159" t="str">
        <f t="shared" si="149"/>
        <v>7909.40383807594-1569.31614263466j</v>
      </c>
      <c r="AP247" s="159" t="str">
        <f t="shared" si="150"/>
        <v>0.906322249509456+0.264412122147644j</v>
      </c>
      <c r="AQ247" s="159" t="str">
        <f t="shared" si="133"/>
        <v>1+286.909782727643j</v>
      </c>
      <c r="AR247" s="159">
        <f t="shared" si="134"/>
        <v>-1.2359843457180648E-2</v>
      </c>
      <c r="AS247" s="159" t="str">
        <f t="shared" si="135"/>
        <v>0.00782608897732732j</v>
      </c>
      <c r="AT247" s="159" t="str">
        <f t="shared" si="136"/>
        <v>-0.0123598434571806+0.00782608897732732j</v>
      </c>
      <c r="AU247" s="159" t="str">
        <f t="shared" si="137"/>
        <v>1.56510409307043-2.49095578149184j</v>
      </c>
      <c r="AW247" s="159" t="str">
        <f t="shared" si="151"/>
        <v>-0.411020258624221-1.21378751190899j</v>
      </c>
      <c r="AX247" s="159">
        <f t="shared" si="138"/>
        <v>2.1543074907239785</v>
      </c>
      <c r="AY247" s="159">
        <f t="shared" si="139"/>
        <v>71.292552646578017</v>
      </c>
      <c r="AZ247" s="159" t="str">
        <f t="shared" si="140"/>
        <v>0.000834121382493047+0.0036488492668239j</v>
      </c>
      <c r="BA247" s="159">
        <f t="shared" si="141"/>
        <v>-48.535662215456661</v>
      </c>
      <c r="BB247" s="159">
        <f t="shared" si="142"/>
        <v>-102.87647432437933</v>
      </c>
      <c r="BD247" s="159" t="str">
        <f t="shared" si="143"/>
        <v>0.00130772332430061+0.00395041093449376j</v>
      </c>
      <c r="BE247" s="159">
        <f t="shared" si="144"/>
        <v>-47.615552608735499</v>
      </c>
      <c r="BF247" s="159">
        <f t="shared" si="145"/>
        <v>-108.31633835835697</v>
      </c>
      <c r="BH247" s="159">
        <f t="shared" si="152"/>
        <v>48.615552608735499</v>
      </c>
      <c r="BI247" s="169">
        <f t="shared" si="153"/>
        <v>108.31633835835697</v>
      </c>
      <c r="BN247" s="165"/>
      <c r="BO247" s="165"/>
      <c r="BP247" s="165"/>
    </row>
    <row r="248" spans="1:68" s="159" customFormat="1">
      <c r="A248" s="159">
        <v>184</v>
      </c>
      <c r="B248" s="159">
        <f t="shared" si="103"/>
        <v>478630.09232263849</v>
      </c>
      <c r="C248" s="159" t="str">
        <f t="shared" si="104"/>
        <v>3007321.56365561j</v>
      </c>
      <c r="D248" s="159">
        <f t="shared" si="105"/>
        <v>-2.6653882444284354</v>
      </c>
      <c r="E248" s="159" t="str">
        <f t="shared" si="106"/>
        <v>-3.00732156365561j</v>
      </c>
      <c r="F248" s="159" t="str">
        <f t="shared" si="107"/>
        <v>-2.66538824442844-3.00732156365561j</v>
      </c>
      <c r="G248" s="159">
        <f t="shared" si="108"/>
        <v>12.081262034166176</v>
      </c>
      <c r="H248" s="159">
        <f t="shared" si="109"/>
        <v>-131.55056203689583</v>
      </c>
      <c r="J248" s="159">
        <f t="shared" si="110"/>
        <v>6.3936063936063938</v>
      </c>
      <c r="K248" s="159" t="str">
        <f t="shared" si="111"/>
        <v>1+736.899039350352j</v>
      </c>
      <c r="L248" s="159">
        <f t="shared" si="112"/>
        <v>-5312.308382678325</v>
      </c>
      <c r="M248" s="159" t="str">
        <f t="shared" si="113"/>
        <v>8.05230627810203j</v>
      </c>
      <c r="N248" s="159" t="str">
        <f t="shared" si="114"/>
        <v>-5312.30838267832+8.05230627810203j</v>
      </c>
      <c r="O248" s="159" t="str">
        <f t="shared" si="115"/>
        <v>0.0000220203150269078-0.138715377375081j</v>
      </c>
      <c r="P248" s="159" t="str">
        <f t="shared" si="116"/>
        <v>0.000140789226945265-0.886891523676842j</v>
      </c>
      <c r="R248" s="159">
        <f t="shared" si="117"/>
        <v>31.968031968031973</v>
      </c>
      <c r="S248" s="159" t="str">
        <f t="shared" si="118"/>
        <v>1+0.105256254727946j</v>
      </c>
      <c r="T248" s="159" t="str">
        <f t="shared" si="119"/>
        <v>-5312.30838267832+8.05230627810203j</v>
      </c>
      <c r="U248" s="159" t="str">
        <f t="shared" si="120"/>
        <v>-0.000188211618211339-0.0000200989446830738j</v>
      </c>
      <c r="V248" s="159" t="str">
        <f t="shared" si="121"/>
        <v>-0.00601675502773511-0.00064252370615221j</v>
      </c>
      <c r="X248" s="159" t="str">
        <f t="shared" si="122"/>
        <v>-0.104563466326236+0.0926449368026377j</v>
      </c>
      <c r="Y248" s="159">
        <f t="shared" si="123"/>
        <v>-17.095957763876953</v>
      </c>
      <c r="Z248" s="159">
        <f t="shared" si="124"/>
        <v>-41.541466642226169</v>
      </c>
      <c r="AB248" s="159" t="str">
        <f t="shared" si="125"/>
        <v>-0.00264996918200181-0.000282987758710509j</v>
      </c>
      <c r="AC248" s="159">
        <f t="shared" si="126"/>
        <v>-51.485937265897306</v>
      </c>
      <c r="AD248" s="159">
        <f t="shared" si="127"/>
        <v>6.0954626664742477</v>
      </c>
      <c r="AF248" s="159" t="str">
        <f t="shared" si="128"/>
        <v>-0.00296042347287466-9.73772325461899E-06j</v>
      </c>
      <c r="AG248" s="159">
        <f t="shared" si="129"/>
        <v>-50.572876231272872</v>
      </c>
      <c r="AH248" s="159">
        <f t="shared" si="130"/>
        <v>0.18846237286831524</v>
      </c>
      <c r="AJ248" s="159" t="str">
        <f t="shared" si="131"/>
        <v>460.213790487684-8501.28668313539j</v>
      </c>
      <c r="AK248" s="159" t="str">
        <f t="shared" si="132"/>
        <v>29999.9999999998-0.00270658940729003j</v>
      </c>
      <c r="AL248" s="159" t="str">
        <f t="shared" si="146"/>
        <v>10000-7389.37348462651j</v>
      </c>
      <c r="AM248" s="159" t="str">
        <f t="shared" si="147"/>
        <v>514.755490943386-2773.67858458469j</v>
      </c>
      <c r="AN248" s="159" t="str">
        <f t="shared" si="148"/>
        <v>10514.7554909434-2773.67858458469j</v>
      </c>
      <c r="AO248" s="159" t="str">
        <f t="shared" si="149"/>
        <v>7889.50077921439-1513.7059213492j</v>
      </c>
      <c r="AP248" s="159" t="str">
        <f t="shared" si="150"/>
        <v>0.913718221387214+0.255013978809097j</v>
      </c>
      <c r="AQ248" s="159" t="str">
        <f t="shared" si="133"/>
        <v>1+300.431424209195j</v>
      </c>
      <c r="AR248" s="159">
        <f t="shared" si="134"/>
        <v>-1.355230850636119E-2</v>
      </c>
      <c r="AS248" s="159" t="str">
        <f t="shared" si="135"/>
        <v>0.0081949211877459j</v>
      </c>
      <c r="AT248" s="159" t="str">
        <f t="shared" si="136"/>
        <v>-0.0135523085063612+0.0081949211877459j</v>
      </c>
      <c r="AU248" s="159" t="str">
        <f t="shared" si="137"/>
        <v>1.46426240288057-2.43982039119559j</v>
      </c>
      <c r="AW248" s="159" t="str">
        <f t="shared" si="151"/>
        <v>-0.44651997573562-1.11426541270483j</v>
      </c>
      <c r="AX248" s="159">
        <f t="shared" si="138"/>
        <v>1.5865418532294708</v>
      </c>
      <c r="AY248" s="159">
        <f t="shared" si="139"/>
        <v>68.16252518079142</v>
      </c>
      <c r="AZ248" s="159" t="str">
        <f t="shared" si="140"/>
        <v>0.00086794070309761+0.00307912869139122j</v>
      </c>
      <c r="BA248" s="159">
        <f t="shared" si="141"/>
        <v>-49.899395412667843</v>
      </c>
      <c r="BB248" s="159">
        <f t="shared" si="142"/>
        <v>-105.74201215273435</v>
      </c>
      <c r="BD248" s="159" t="str">
        <f t="shared" si="143"/>
        <v>0.00131103780905404+0.00330304557073512j</v>
      </c>
      <c r="BE248" s="159">
        <f t="shared" si="144"/>
        <v>-48.986334378043395</v>
      </c>
      <c r="BF248" s="159">
        <f t="shared" si="145"/>
        <v>-111.64901244634028</v>
      </c>
      <c r="BH248" s="159">
        <f t="shared" si="152"/>
        <v>49.986334378043395</v>
      </c>
      <c r="BI248" s="169">
        <f t="shared" si="153"/>
        <v>111.64901244634028</v>
      </c>
      <c r="BN248" s="165"/>
      <c r="BO248" s="165"/>
      <c r="BP248" s="165"/>
    </row>
    <row r="249" spans="1:68" s="159" customFormat="1">
      <c r="A249" s="159">
        <v>185</v>
      </c>
      <c r="B249" s="159">
        <f t="shared" si="103"/>
        <v>501187.23362727324</v>
      </c>
      <c r="C249" s="159" t="str">
        <f t="shared" si="104"/>
        <v>3149052.26247287j</v>
      </c>
      <c r="D249" s="159">
        <f t="shared" si="105"/>
        <v>-3.019018290415354</v>
      </c>
      <c r="E249" s="159" t="str">
        <f t="shared" si="106"/>
        <v>-3.14905226247287j</v>
      </c>
      <c r="F249" s="159" t="str">
        <f t="shared" si="107"/>
        <v>-3.01901829041535-3.14905226247287j</v>
      </c>
      <c r="G249" s="159">
        <f t="shared" si="108"/>
        <v>12.794616455340268</v>
      </c>
      <c r="H249" s="159">
        <f t="shared" si="109"/>
        <v>-133.79228127073526</v>
      </c>
      <c r="J249" s="159">
        <f t="shared" si="110"/>
        <v>6.3936063936063938</v>
      </c>
      <c r="K249" s="159" t="str">
        <f t="shared" si="111"/>
        <v>1+771.62802113504j</v>
      </c>
      <c r="L249" s="159">
        <f t="shared" si="112"/>
        <v>-5824.9267909916334</v>
      </c>
      <c r="M249" s="159" t="str">
        <f t="shared" si="113"/>
        <v>8.43179978145015j</v>
      </c>
      <c r="N249" s="159" t="str">
        <f t="shared" si="114"/>
        <v>-5824.92679099163+8.43179978145015j</v>
      </c>
      <c r="O249" s="159" t="str">
        <f t="shared" si="115"/>
        <v>0.000020079261334788-0.132469965635288j</v>
      </c>
      <c r="P249" s="159" t="str">
        <f t="shared" si="116"/>
        <v>0.000128378893648994-0.846960819246597j</v>
      </c>
      <c r="R249" s="159">
        <f t="shared" si="117"/>
        <v>31.968031968031973</v>
      </c>
      <c r="S249" s="159" t="str">
        <f t="shared" si="118"/>
        <v>1+0.11021682918655j</v>
      </c>
      <c r="T249" s="159" t="str">
        <f t="shared" si="119"/>
        <v>-5824.92679099163+8.43179978145015j</v>
      </c>
      <c r="U249" s="159" t="str">
        <f t="shared" si="120"/>
        <v>-0.00017164822801384-0.0000191700491155862j</v>
      </c>
      <c r="V249" s="159" t="str">
        <f t="shared" si="121"/>
        <v>-0.00548725604040248-0.000612828742955803j</v>
      </c>
      <c r="X249" s="159" t="str">
        <f t="shared" si="122"/>
        <v>-0.104562219839204+0.100214114958176j</v>
      </c>
      <c r="Y249" s="159">
        <f t="shared" si="123"/>
        <v>-16.782747033615035</v>
      </c>
      <c r="Z249" s="159">
        <f t="shared" si="124"/>
        <v>-43.783596608397886</v>
      </c>
      <c r="AB249" s="159" t="str">
        <f t="shared" si="125"/>
        <v>-0.00241676108363906-0.000269909157875271j</v>
      </c>
      <c r="AC249" s="159">
        <f t="shared" si="126"/>
        <v>-52.281491498680154</v>
      </c>
      <c r="AD249" s="159">
        <f t="shared" si="127"/>
        <v>6.3725108011738314</v>
      </c>
      <c r="AF249" s="159" t="str">
        <f t="shared" si="128"/>
        <v>-0.00269890168664849+6.24148348124574E-07j</v>
      </c>
      <c r="AG249" s="159">
        <f t="shared" si="129"/>
        <v>-51.376258473222407</v>
      </c>
      <c r="AH249" s="159">
        <f t="shared" si="130"/>
        <v>-1.3250229038362704E-2</v>
      </c>
      <c r="AJ249" s="159" t="str">
        <f t="shared" si="131"/>
        <v>419.8279046332-8120.75362944969j</v>
      </c>
      <c r="AK249" s="159" t="str">
        <f t="shared" si="132"/>
        <v>29999.9999999997-0.00283414703622556j</v>
      </c>
      <c r="AL249" s="159" t="str">
        <f t="shared" si="146"/>
        <v>10000-7056.79689316166j</v>
      </c>
      <c r="AM249" s="159" t="str">
        <f t="shared" si="147"/>
        <v>492.629130209991-2671.48296316846j</v>
      </c>
      <c r="AN249" s="159" t="str">
        <f t="shared" si="148"/>
        <v>10492.62913021-2671.48296316846j</v>
      </c>
      <c r="AO249" s="159" t="str">
        <f t="shared" si="149"/>
        <v>7870.05630006979-1460.01324865543j</v>
      </c>
      <c r="AP249" s="159" t="str">
        <f t="shared" si="150"/>
        <v>0.920592400499994+0.245757598497549j</v>
      </c>
      <c r="AQ249" s="159" t="str">
        <f t="shared" si="133"/>
        <v>1+314.59032102104j</v>
      </c>
      <c r="AR249" s="159">
        <f t="shared" si="134"/>
        <v>-1.4859820432450573E-2</v>
      </c>
      <c r="AS249" s="159" t="str">
        <f t="shared" si="135"/>
        <v>0.00858113592471595j</v>
      </c>
      <c r="AT249" s="159" t="str">
        <f t="shared" si="136"/>
        <v>-0.0148598204324506+0.00858113592471595j</v>
      </c>
      <c r="AU249" s="159" t="str">
        <f t="shared" si="137"/>
        <v>1.36764190167637-2.38580454317694j</v>
      </c>
      <c r="AW249" s="159" t="str">
        <f t="shared" si="151"/>
        <v>-0.472546193998401-1.01795879902632j</v>
      </c>
      <c r="AX249" s="159">
        <f t="shared" si="138"/>
        <v>1.0021197179270722</v>
      </c>
      <c r="AY249" s="159">
        <f t="shared" si="139"/>
        <v>65.098821412180712</v>
      </c>
      <c r="AZ249" s="159" t="str">
        <f t="shared" si="140"/>
        <v>0.000867274849680172+0.00258770775551404j</v>
      </c>
      <c r="BA249" s="159">
        <f t="shared" si="141"/>
        <v>-51.279371780753074</v>
      </c>
      <c r="BB249" s="159">
        <f t="shared" si="142"/>
        <v>-108.52866778664541</v>
      </c>
      <c r="BD249" s="159" t="str">
        <f t="shared" si="143"/>
        <v>0.00127599107730448+0.00274707578070441j</v>
      </c>
      <c r="BE249" s="159">
        <f t="shared" si="144"/>
        <v>-50.374138755295334</v>
      </c>
      <c r="BF249" s="159">
        <f t="shared" si="145"/>
        <v>-114.91442881685761</v>
      </c>
      <c r="BH249" s="159">
        <f t="shared" si="152"/>
        <v>51.374138755295334</v>
      </c>
      <c r="BI249" s="169">
        <f t="shared" si="153"/>
        <v>114.91442881685761</v>
      </c>
      <c r="BN249" s="165"/>
      <c r="BO249" s="165"/>
      <c r="BP249" s="165"/>
    </row>
    <row r="250" spans="1:68" s="159" customFormat="1">
      <c r="A250" s="159">
        <v>186</v>
      </c>
      <c r="B250" s="159">
        <f t="shared" si="103"/>
        <v>524807.46024977358</v>
      </c>
      <c r="C250" s="159" t="str">
        <f t="shared" si="104"/>
        <v>3297462.52333961j</v>
      </c>
      <c r="D250" s="159">
        <f t="shared" si="105"/>
        <v>-3.406765925341066</v>
      </c>
      <c r="E250" s="159" t="str">
        <f t="shared" si="106"/>
        <v>-3.29746252333961j</v>
      </c>
      <c r="F250" s="159" t="str">
        <f t="shared" si="107"/>
        <v>-3.40676592534107-3.29746252333961j</v>
      </c>
      <c r="G250" s="159">
        <f t="shared" si="108"/>
        <v>13.517830375855485</v>
      </c>
      <c r="H250" s="159">
        <f t="shared" si="109"/>
        <v>-135.9340476492101</v>
      </c>
      <c r="J250" s="159">
        <f t="shared" si="110"/>
        <v>6.3936063936063938</v>
      </c>
      <c r="K250" s="159" t="str">
        <f t="shared" si="111"/>
        <v>1+807.993729406521j</v>
      </c>
      <c r="L250" s="159">
        <f t="shared" si="112"/>
        <v>-6387.001698648719</v>
      </c>
      <c r="M250" s="159" t="str">
        <f t="shared" si="113"/>
        <v>8.82917826260577j</v>
      </c>
      <c r="N250" s="159" t="str">
        <f t="shared" si="114"/>
        <v>-6387.00169864872+8.82917826260577j</v>
      </c>
      <c r="O250" s="159" t="str">
        <f t="shared" si="115"/>
        <v>0.0000183095891126141-0.126505926547482j</v>
      </c>
      <c r="P250" s="159" t="str">
        <f t="shared" si="116"/>
        <v>0.000117064306014716-0.808829100803082j</v>
      </c>
      <c r="R250" s="159">
        <f t="shared" si="117"/>
        <v>31.968031968031973</v>
      </c>
      <c r="S250" s="159" t="str">
        <f t="shared" si="118"/>
        <v>1+0.115411188316886j</v>
      </c>
      <c r="T250" s="159" t="str">
        <f t="shared" si="119"/>
        <v>-6387.00169864872+8.82917826260577j</v>
      </c>
      <c r="U250" s="159" t="str">
        <f t="shared" si="120"/>
        <v>-0.000156542709077798-0.0000182860968748066j</v>
      </c>
      <c r="V250" s="159" t="str">
        <f t="shared" si="121"/>
        <v>-0.00500436232816137-0.000584570529464347j</v>
      </c>
      <c r="X250" s="159" t="str">
        <f t="shared" si="122"/>
        <v>-0.104561082931177+0.107995763503267j</v>
      </c>
      <c r="Y250" s="159">
        <f t="shared" si="123"/>
        <v>-16.459664158742303</v>
      </c>
      <c r="Z250" s="159">
        <f t="shared" si="124"/>
        <v>-45.925755056111143</v>
      </c>
      <c r="AB250" s="159" t="str">
        <f t="shared" si="125"/>
        <v>-0.00220407942222478-0.000257463347044416j</v>
      </c>
      <c r="AC250" s="159">
        <f t="shared" si="126"/>
        <v>-53.07659599980493</v>
      </c>
      <c r="AD250" s="159">
        <f t="shared" si="127"/>
        <v>6.6626508890465459</v>
      </c>
      <c r="AF250" s="159" t="str">
        <f t="shared" si="128"/>
        <v>-0.00246034119277925+9.20562909561882E-06j</v>
      </c>
      <c r="AG250" s="159">
        <f t="shared" si="129"/>
        <v>-52.180032441978021</v>
      </c>
      <c r="AH250" s="159">
        <f t="shared" si="130"/>
        <v>-0.21437727221461955</v>
      </c>
      <c r="AJ250" s="159" t="str">
        <f t="shared" si="131"/>
        <v>382.977423834465-7757.07886686485j</v>
      </c>
      <c r="AK250" s="159" t="str">
        <f t="shared" si="132"/>
        <v>29999.9999999997-0.00296771627100562j</v>
      </c>
      <c r="AL250" s="159" t="str">
        <f t="shared" si="146"/>
        <v>10000-6739.18871402852j</v>
      </c>
      <c r="AM250" s="159" t="str">
        <f t="shared" si="147"/>
        <v>470.455951001801-2572.91366317418j</v>
      </c>
      <c r="AN250" s="159" t="str">
        <f t="shared" si="148"/>
        <v>10470.4559510018-2572.91366317418j</v>
      </c>
      <c r="AO250" s="159" t="str">
        <f t="shared" si="149"/>
        <v>7851.07654172249-1408.12042327794j</v>
      </c>
      <c r="AP250" s="159" t="str">
        <f t="shared" si="150"/>
        <v>0.926971969238203+0.236665233815648j</v>
      </c>
      <c r="AQ250" s="159" t="str">
        <f t="shared" si="133"/>
        <v>1+329.416506081627j</v>
      </c>
      <c r="AR250" s="159">
        <f t="shared" si="134"/>
        <v>-1.6293478750604558E-2</v>
      </c>
      <c r="AS250" s="159" t="str">
        <f t="shared" si="135"/>
        <v>0.0089855524014752j</v>
      </c>
      <c r="AT250" s="159" t="str">
        <f t="shared" si="136"/>
        <v>-0.0162934787506046+0.0089855524014752j</v>
      </c>
      <c r="AU250" s="159" t="str">
        <f t="shared" si="137"/>
        <v>1.27536661204944-2.32931241814603j</v>
      </c>
      <c r="AW250" s="159" t="str">
        <f t="shared" si="151"/>
        <v>-0.490046224767896-0.92563982866963j</v>
      </c>
      <c r="AX250" s="159">
        <f t="shared" si="138"/>
        <v>0.40188572437153236</v>
      </c>
      <c r="AY250" s="159">
        <f t="shared" si="139"/>
        <v>62.102651148979703</v>
      </c>
      <c r="AZ250" s="159" t="str">
        <f t="shared" si="140"/>
        <v>0.000841782471502958+0.00216635263999763j</v>
      </c>
      <c r="BA250" s="159">
        <f t="shared" si="141"/>
        <v>-52.674710275433377</v>
      </c>
      <c r="BB250" s="159">
        <f t="shared" si="142"/>
        <v>-111.23469796197377</v>
      </c>
      <c r="BD250" s="159" t="str">
        <f t="shared" si="143"/>
        <v>0.00121420201010128+0.0022728786163681j</v>
      </c>
      <c r="BE250" s="159">
        <f t="shared" si="144"/>
        <v>-51.778146717606489</v>
      </c>
      <c r="BF250" s="159">
        <f t="shared" si="145"/>
        <v>-118.1117261232349</v>
      </c>
      <c r="BH250" s="159">
        <f t="shared" si="152"/>
        <v>52.778146717606489</v>
      </c>
      <c r="BI250" s="169">
        <f t="shared" si="153"/>
        <v>118.1117261232349</v>
      </c>
      <c r="BN250" s="165"/>
      <c r="BO250" s="165"/>
      <c r="BP250" s="165"/>
    </row>
    <row r="251" spans="1:68" s="159" customFormat="1">
      <c r="A251" s="159">
        <v>187</v>
      </c>
      <c r="B251" s="159">
        <f t="shared" si="103"/>
        <v>549540.87385762541</v>
      </c>
      <c r="C251" s="159" t="str">
        <f t="shared" si="104"/>
        <v>3452867.14431686j</v>
      </c>
      <c r="D251" s="159">
        <f t="shared" si="105"/>
        <v>-3.8319227526432478</v>
      </c>
      <c r="E251" s="159" t="str">
        <f t="shared" si="106"/>
        <v>-3.45286714431686j</v>
      </c>
      <c r="F251" s="159" t="str">
        <f t="shared" si="107"/>
        <v>-3.83192275264325-3.45286714431686j</v>
      </c>
      <c r="G251" s="159">
        <f t="shared" si="108"/>
        <v>14.249783379968434</v>
      </c>
      <c r="H251" s="159">
        <f t="shared" si="109"/>
        <v>-137.97863325387357</v>
      </c>
      <c r="J251" s="159">
        <f t="shared" si="110"/>
        <v>6.3936063936063938</v>
      </c>
      <c r="K251" s="159" t="str">
        <f t="shared" si="111"/>
        <v>1+846.073300707682j</v>
      </c>
      <c r="L251" s="159">
        <f t="shared" si="112"/>
        <v>-7003.3045794939817</v>
      </c>
      <c r="M251" s="159" t="str">
        <f t="shared" si="113"/>
        <v>9.24528461460494j</v>
      </c>
      <c r="N251" s="159" t="str">
        <f t="shared" si="114"/>
        <v>-7003.30457949398+9.24528461460494j</v>
      </c>
      <c r="O251" s="159" t="str">
        <f t="shared" si="115"/>
        <v>0.0000166961193833273-0.120810559749843j</v>
      </c>
      <c r="P251" s="159" t="str">
        <f t="shared" si="116"/>
        <v>0.000106748415637657-0.772415167231764j</v>
      </c>
      <c r="R251" s="159">
        <f t="shared" si="117"/>
        <v>31.968031968031973</v>
      </c>
      <c r="S251" s="159" t="str">
        <f t="shared" si="118"/>
        <v>1+0.12085035005109j</v>
      </c>
      <c r="T251" s="159" t="str">
        <f t="shared" si="119"/>
        <v>-7003.30457949398+9.24528461460494j</v>
      </c>
      <c r="U251" s="159" t="str">
        <f t="shared" si="120"/>
        <v>-0.000142766705032186-0.0000174446602294469j</v>
      </c>
      <c r="V251" s="159" t="str">
        <f t="shared" si="121"/>
        <v>-0.00456397059043951-0.000557671455886414j</v>
      </c>
      <c r="X251" s="159" t="str">
        <f t="shared" si="122"/>
        <v>-0.104560045976941+0.116006400901895j</v>
      </c>
      <c r="Y251" s="159">
        <f t="shared" si="123"/>
        <v>-16.127830667990018</v>
      </c>
      <c r="Z251" s="159">
        <f t="shared" si="124"/>
        <v>-47.970714929756952</v>
      </c>
      <c r="AB251" s="159" t="str">
        <f t="shared" si="125"/>
        <v>-0.00201011697442832-0.000245616144411546j</v>
      </c>
      <c r="AC251" s="159">
        <f t="shared" si="126"/>
        <v>-53.871210811910288</v>
      </c>
      <c r="AD251" s="159">
        <f t="shared" si="127"/>
        <v>6.9664363425221438</v>
      </c>
      <c r="AF251" s="159" t="str">
        <f t="shared" si="128"/>
        <v>-0.00224273143352108+0.0000162546436702862j</v>
      </c>
      <c r="AG251" s="159">
        <f t="shared" si="129"/>
        <v>-52.984226473783671</v>
      </c>
      <c r="AH251" s="159">
        <f t="shared" si="130"/>
        <v>-0.41525532624996231</v>
      </c>
      <c r="AJ251" s="159" t="str">
        <f t="shared" si="131"/>
        <v>349.35430775469-7409.53811239384j</v>
      </c>
      <c r="AK251" s="159" t="str">
        <f t="shared" si="132"/>
        <v>29999.9999999997-0.00310758042988515j</v>
      </c>
      <c r="AL251" s="159" t="str">
        <f t="shared" si="146"/>
        <v>10000-6435.87525769654j</v>
      </c>
      <c r="AM251" s="159" t="str">
        <f t="shared" si="147"/>
        <v>448.329818788504-2477.76162169931j</v>
      </c>
      <c r="AN251" s="159" t="str">
        <f t="shared" si="148"/>
        <v>10448.3298187885-2477.76162169931j</v>
      </c>
      <c r="AO251" s="159" t="str">
        <f t="shared" si="149"/>
        <v>7832.57294691461-1357.92029927315j</v>
      </c>
      <c r="AP251" s="159" t="str">
        <f t="shared" si="150"/>
        <v>0.932884232811038+0.227755786788878j</v>
      </c>
      <c r="AQ251" s="159" t="str">
        <f t="shared" si="133"/>
        <v>1+344.941427717254j</v>
      </c>
      <c r="AR251" s="159">
        <f t="shared" si="134"/>
        <v>-1.7865453837179898E-2</v>
      </c>
      <c r="AS251" s="159" t="str">
        <f t="shared" si="135"/>
        <v>0.009409028439592j</v>
      </c>
      <c r="AT251" s="159" t="str">
        <f t="shared" si="136"/>
        <v>-0.0178654538371799+0.009409028439592j</v>
      </c>
      <c r="AU251" s="159" t="str">
        <f t="shared" si="137"/>
        <v>1.18751455040475-2.27074309727158j</v>
      </c>
      <c r="AW251" s="159" t="str">
        <f t="shared" si="151"/>
        <v>-0.499989208209047-0.837900533296323j</v>
      </c>
      <c r="AX251" s="159">
        <f t="shared" si="138"/>
        <v>-0.21332710443372396</v>
      </c>
      <c r="AY251" s="159">
        <f t="shared" si="139"/>
        <v>59.17476847827345</v>
      </c>
      <c r="AZ251" s="159" t="str">
        <f t="shared" si="140"/>
        <v>0.000799234896063363+0.00180708350642917j</v>
      </c>
      <c r="BA251" s="159">
        <f t="shared" si="141"/>
        <v>-54.084537916343997</v>
      </c>
      <c r="BB251" s="159">
        <f t="shared" si="142"/>
        <v>-113.85879517920449</v>
      </c>
      <c r="BD251" s="159" t="str">
        <f t="shared" si="143"/>
        <v>0.00113496128827163+0.00187105871776932j</v>
      </c>
      <c r="BE251" s="159">
        <f t="shared" si="144"/>
        <v>-53.197553578217352</v>
      </c>
      <c r="BF251" s="159">
        <f t="shared" si="145"/>
        <v>-121.24048684797667</v>
      </c>
      <c r="BH251" s="159">
        <f t="shared" si="152"/>
        <v>54.197553578217352</v>
      </c>
      <c r="BI251" s="169">
        <f t="shared" si="153"/>
        <v>121.24048684797667</v>
      </c>
      <c r="BN251" s="165"/>
      <c r="BO251" s="165"/>
      <c r="BP251" s="165"/>
    </row>
    <row r="252" spans="1:68" s="159" customFormat="1">
      <c r="A252" s="159">
        <v>188</v>
      </c>
      <c r="B252" s="159">
        <f t="shared" si="103"/>
        <v>575439.93733715767</v>
      </c>
      <c r="C252" s="159" t="str">
        <f t="shared" si="104"/>
        <v>3615595.75944117j</v>
      </c>
      <c r="D252" s="159">
        <f t="shared" si="105"/>
        <v>-4.2980979437214808</v>
      </c>
      <c r="E252" s="159" t="str">
        <f t="shared" si="106"/>
        <v>-3.61559575944117j</v>
      </c>
      <c r="F252" s="159" t="str">
        <f t="shared" si="107"/>
        <v>-4.29809794372148-3.61559575944117j</v>
      </c>
      <c r="G252" s="159">
        <f t="shared" si="108"/>
        <v>14.989467581718884</v>
      </c>
      <c r="H252" s="159">
        <f t="shared" si="109"/>
        <v>-139.92917402431732</v>
      </c>
      <c r="J252" s="159">
        <f t="shared" si="110"/>
        <v>6.3936063936063938</v>
      </c>
      <c r="K252" s="159" t="str">
        <f t="shared" si="111"/>
        <v>1+885.947506914667j</v>
      </c>
      <c r="L252" s="159">
        <f t="shared" si="112"/>
        <v>-7679.06725056101</v>
      </c>
      <c r="M252" s="159" t="str">
        <f t="shared" si="113"/>
        <v>9.68100145480859j</v>
      </c>
      <c r="N252" s="159" t="str">
        <f t="shared" si="114"/>
        <v>-7679.06725056101+9.68100145480859j</v>
      </c>
      <c r="O252" s="159" t="str">
        <f t="shared" si="115"/>
        <v>0.0000152250254655431-0.115371741204174j</v>
      </c>
      <c r="P252" s="159" t="str">
        <f t="shared" si="116"/>
        <v>0.0000973428201593165-0.737641502204509j</v>
      </c>
      <c r="R252" s="159">
        <f t="shared" si="117"/>
        <v>31.968031968031973</v>
      </c>
      <c r="S252" s="159" t="str">
        <f t="shared" si="118"/>
        <v>1+0.126545851580441j</v>
      </c>
      <c r="T252" s="159" t="str">
        <f t="shared" si="119"/>
        <v>-7679.06725056101+9.68100145480859j</v>
      </c>
      <c r="U252" s="159" t="str">
        <f t="shared" si="120"/>
        <v>-0.000130203166854725-0.0000166434730232171j</v>
      </c>
      <c r="V252" s="159" t="str">
        <f t="shared" si="121"/>
        <v>-0.00416233900035085-0.000532059077665282j</v>
      </c>
      <c r="X252" s="159" t="str">
        <f t="shared" si="122"/>
        <v>-0.104559100195415+0.124263029714668j</v>
      </c>
      <c r="Y252" s="159">
        <f t="shared" si="123"/>
        <v>-15.788255462317753</v>
      </c>
      <c r="Z252" s="159">
        <f t="shared" si="124"/>
        <v>-49.921612989977632</v>
      </c>
      <c r="AB252" s="159" t="str">
        <f t="shared" si="125"/>
        <v>-0.00183322572136131-0.000234335643102965j</v>
      </c>
      <c r="AC252" s="159">
        <f t="shared" si="126"/>
        <v>-54.665292137985347</v>
      </c>
      <c r="AD252" s="159">
        <f t="shared" si="127"/>
        <v>7.2844405979104181</v>
      </c>
      <c r="AF252" s="159" t="str">
        <f t="shared" si="128"/>
        <v>-0.00204423723813952+0.0000219863416648643j</v>
      </c>
      <c r="AG252" s="159">
        <f t="shared" si="129"/>
        <v>-53.788871750491296</v>
      </c>
      <c r="AH252" s="159">
        <f t="shared" si="130"/>
        <v>-0.6162083298786456</v>
      </c>
      <c r="AJ252" s="159" t="str">
        <f t="shared" si="131"/>
        <v>318.677111897238-7077.43527149262j</v>
      </c>
      <c r="AK252" s="159" t="str">
        <f t="shared" si="132"/>
        <v>29999.9999999996-0.00325403618349701j</v>
      </c>
      <c r="AL252" s="159" t="str">
        <f t="shared" si="146"/>
        <v>10000-6146.21315565899j</v>
      </c>
      <c r="AM252" s="159" t="str">
        <f t="shared" si="147"/>
        <v>426.343805119576-2385.8379339869j</v>
      </c>
      <c r="AN252" s="159" t="str">
        <f t="shared" si="148"/>
        <v>10426.3438051196-2385.8379339869j</v>
      </c>
      <c r="AO252" s="159" t="str">
        <f t="shared" si="149"/>
        <v>7814.56093709831-1309.31629267344j</v>
      </c>
      <c r="AP252" s="159" t="str">
        <f t="shared" si="150"/>
        <v>0.938356316733362+0.219045041713904j</v>
      </c>
      <c r="AQ252" s="159" t="str">
        <f t="shared" si="133"/>
        <v>1+361.198016368173j</v>
      </c>
      <c r="AR252" s="159">
        <f t="shared" si="134"/>
        <v>-1.958909024448997E-2</v>
      </c>
      <c r="AS252" s="159" t="str">
        <f t="shared" si="135"/>
        <v>0.00985246228851959j</v>
      </c>
      <c r="AT252" s="159" t="str">
        <f t="shared" si="136"/>
        <v>-0.01958909024449+0.00985246228851959j</v>
      </c>
      <c r="AU252" s="159" t="str">
        <f t="shared" si="137"/>
        <v>1.10412080008251-2.21048519201256j</v>
      </c>
      <c r="AW252" s="159" t="str">
        <f t="shared" si="151"/>
        <v>-0.503338206725651-0.755166207913745j</v>
      </c>
      <c r="AX252" s="159">
        <f t="shared" si="138"/>
        <v>-0.84270293875868474</v>
      </c>
      <c r="AY252" s="159">
        <f t="shared" si="139"/>
        <v>56.315497075320309</v>
      </c>
      <c r="AZ252" s="159" t="str">
        <f t="shared" si="140"/>
        <v>0.000745770188132244+0.00150234019862171j</v>
      </c>
      <c r="BA252" s="159">
        <f t="shared" si="141"/>
        <v>-55.507995076744038</v>
      </c>
      <c r="BB252" s="159">
        <f t="shared" si="142"/>
        <v>-116.40006232676922</v>
      </c>
      <c r="BD252" s="159" t="str">
        <f t="shared" si="143"/>
        <v>0.00104554604782789+0.00153267231741584j</v>
      </c>
      <c r="BE252" s="159">
        <f t="shared" si="144"/>
        <v>-54.631574689249987</v>
      </c>
      <c r="BF252" s="159">
        <f t="shared" si="145"/>
        <v>-124.30071125455817</v>
      </c>
      <c r="BH252" s="159">
        <f t="shared" si="152"/>
        <v>55.631574689249987</v>
      </c>
      <c r="BI252" s="169">
        <f t="shared" si="153"/>
        <v>124.30071125455817</v>
      </c>
      <c r="BN252" s="165"/>
      <c r="BO252" s="165"/>
      <c r="BP252" s="165"/>
    </row>
    <row r="253" spans="1:68" s="159" customFormat="1">
      <c r="A253" s="159">
        <v>189</v>
      </c>
      <c r="B253" s="159">
        <f t="shared" si="103"/>
        <v>602559.58607435855</v>
      </c>
      <c r="C253" s="159" t="str">
        <f t="shared" si="104"/>
        <v>3785993.53792262j</v>
      </c>
      <c r="D253" s="159">
        <f t="shared" si="105"/>
        <v>-4.8092488763216137</v>
      </c>
      <c r="E253" s="159" t="str">
        <f t="shared" si="106"/>
        <v>-3.78599353792262j</v>
      </c>
      <c r="F253" s="159" t="str">
        <f t="shared" si="107"/>
        <v>-4.80924887632161-3.78599353792262j</v>
      </c>
      <c r="G253" s="159">
        <f t="shared" si="108"/>
        <v>15.735981682253852</v>
      </c>
      <c r="H253" s="159">
        <f t="shared" si="109"/>
        <v>-141.78905472256625</v>
      </c>
      <c r="J253" s="159">
        <f t="shared" si="110"/>
        <v>6.3936063936063938</v>
      </c>
      <c r="K253" s="159" t="str">
        <f t="shared" si="111"/>
        <v>1+927.700926564869j</v>
      </c>
      <c r="L253" s="159">
        <f t="shared" si="112"/>
        <v>-8420.0262851534389</v>
      </c>
      <c r="M253" s="159" t="str">
        <f t="shared" si="113"/>
        <v>10.1372529970524j</v>
      </c>
      <c r="N253" s="159" t="str">
        <f t="shared" si="114"/>
        <v>-8420.02628515344+10.1372529970524j</v>
      </c>
      <c r="O253" s="159" t="str">
        <f t="shared" si="115"/>
        <v>0.0000138837111724605-0.110177896648368j</v>
      </c>
      <c r="P253" s="159" t="str">
        <f t="shared" si="116"/>
        <v>0.000088766984519228-0.70443410444511j</v>
      </c>
      <c r="R253" s="159">
        <f t="shared" si="117"/>
        <v>31.968031968031973</v>
      </c>
      <c r="S253" s="159" t="str">
        <f t="shared" si="118"/>
        <v>1+0.132509773827292j</v>
      </c>
      <c r="T253" s="159" t="str">
        <f t="shared" si="119"/>
        <v>-8420.02628515344+10.1372529970524j</v>
      </c>
      <c r="U253" s="159" t="str">
        <f t="shared" si="120"/>
        <v>-0.000118745355695833-0.000015880416641451j</v>
      </c>
      <c r="V253" s="159" t="str">
        <f t="shared" si="121"/>
        <v>-0.00379605532693972-0.000507665666859572j</v>
      </c>
      <c r="X253" s="159" t="str">
        <f t="shared" si="122"/>
        <v>-0.104558237575839+0.132783172872662j</v>
      </c>
      <c r="Y253" s="159">
        <f t="shared" si="123"/>
        <v>-15.441840766221191</v>
      </c>
      <c r="Z253" s="159">
        <f t="shared" si="124"/>
        <v>-51.781834780326022</v>
      </c>
      <c r="AB253" s="159" t="str">
        <f t="shared" si="125"/>
        <v>-0.00167190280860591-0.000223592013591531j</v>
      </c>
      <c r="AC253" s="159">
        <f t="shared" si="126"/>
        <v>-55.458792031852894</v>
      </c>
      <c r="AD253" s="159">
        <f t="shared" si="127"/>
        <v>7.617257074564634</v>
      </c>
      <c r="AF253" s="159" t="str">
        <f t="shared" si="128"/>
        <v>-0.00186318365514061+0.0000265873502683976j</v>
      </c>
      <c r="AG253" s="159">
        <f t="shared" si="129"/>
        <v>-54.594002428715129</v>
      </c>
      <c r="AH253" s="159">
        <f t="shared" si="130"/>
        <v>-0.81754665918762726</v>
      </c>
      <c r="AJ253" s="159" t="str">
        <f t="shared" si="131"/>
        <v>290.688732370365-6760.10173068464j</v>
      </c>
      <c r="AK253" s="159" t="str">
        <f t="shared" si="132"/>
        <v>29999.9999999996-0.00340739418413033j</v>
      </c>
      <c r="AL253" s="159" t="str">
        <f t="shared" si="146"/>
        <v>10000-5869.58799576176j</v>
      </c>
      <c r="AM253" s="159" t="str">
        <f t="shared" si="147"/>
        <v>404.58863195863-2296.97315437472j</v>
      </c>
      <c r="AN253" s="159" t="str">
        <f t="shared" si="148"/>
        <v>10404.5886319586-2296.97315437472j</v>
      </c>
      <c r="AO253" s="159" t="str">
        <f t="shared" si="149"/>
        <v>7797.05861716972-1262.22221079761j</v>
      </c>
      <c r="AP253" s="159" t="str">
        <f t="shared" si="150"/>
        <v>0.943414914371888+0.210545909303674j</v>
      </c>
      <c r="AQ253" s="159" t="str">
        <f t="shared" si="133"/>
        <v>1+378.22075443847j</v>
      </c>
      <c r="AR253" s="159">
        <f t="shared" si="134"/>
        <v>-2.1479019983183915E-2</v>
      </c>
      <c r="AS253" s="159" t="str">
        <f t="shared" si="135"/>
        <v>0.0103167945309038j</v>
      </c>
      <c r="AT253" s="159" t="str">
        <f t="shared" si="136"/>
        <v>-0.0214790199831839+0.0103167945309038j</v>
      </c>
      <c r="AU253" s="159" t="str">
        <f t="shared" si="137"/>
        <v>1.02518115336324-2.14891228211079j</v>
      </c>
      <c r="AW253" s="159" t="str">
        <f t="shared" si="151"/>
        <v>-0.501027391882806-0.67771191438858j</v>
      </c>
      <c r="AX253" s="159">
        <f t="shared" si="138"/>
        <v>-1.4854480371164833</v>
      </c>
      <c r="AY253" s="159">
        <f t="shared" si="139"/>
        <v>53.524757966230126</v>
      </c>
      <c r="AZ253" s="159" t="str">
        <f t="shared" si="140"/>
        <v>0.000686138132104244+0.00124509417650755j</v>
      </c>
      <c r="BA253" s="159">
        <f t="shared" si="141"/>
        <v>-56.944240068969343</v>
      </c>
      <c r="BB253" s="159">
        <f t="shared" si="142"/>
        <v>-118.85798495920517</v>
      </c>
      <c r="BD253" s="159" t="str">
        <f t="shared" si="143"/>
        <v>0.000951524611382689+0.00124938077102081j</v>
      </c>
      <c r="BE253" s="159">
        <f t="shared" si="144"/>
        <v>-56.079450465831584</v>
      </c>
      <c r="BF253" s="159">
        <f t="shared" si="145"/>
        <v>-127.2927886929574</v>
      </c>
      <c r="BH253" s="159">
        <f t="shared" si="152"/>
        <v>57.079450465831584</v>
      </c>
      <c r="BI253" s="169">
        <f t="shared" si="153"/>
        <v>127.2927886929574</v>
      </c>
      <c r="BN253" s="165"/>
      <c r="BO253" s="165"/>
      <c r="BP253" s="165"/>
    </row>
    <row r="254" spans="1:68" s="159" customFormat="1">
      <c r="A254" s="159">
        <v>190</v>
      </c>
      <c r="B254" s="159">
        <f t="shared" si="103"/>
        <v>630957.3444801938</v>
      </c>
      <c r="C254" s="159" t="str">
        <f t="shared" si="104"/>
        <v>3964421.916295j</v>
      </c>
      <c r="D254" s="159">
        <f t="shared" si="105"/>
        <v>-5.3697147288559508</v>
      </c>
      <c r="E254" s="159" t="str">
        <f t="shared" si="106"/>
        <v>-3.964421916295j</v>
      </c>
      <c r="F254" s="159" t="str">
        <f t="shared" si="107"/>
        <v>-5.36971472885595-3.964421916295j</v>
      </c>
      <c r="G254" s="159">
        <f t="shared" si="108"/>
        <v>16.488523622660765</v>
      </c>
      <c r="H254" s="159">
        <f t="shared" si="109"/>
        <v>-143.56181369708614</v>
      </c>
      <c r="J254" s="159">
        <f t="shared" si="110"/>
        <v>6.3936063936063938</v>
      </c>
      <c r="K254" s="159" t="str">
        <f t="shared" si="111"/>
        <v>1+971.422124259345j</v>
      </c>
      <c r="L254" s="159">
        <f t="shared" si="112"/>
        <v>-9232.4717108193945</v>
      </c>
      <c r="M254" s="159" t="str">
        <f t="shared" si="113"/>
        <v>10.6150070120281j</v>
      </c>
      <c r="N254" s="159" t="str">
        <f t="shared" si="114"/>
        <v>-9232.47171081939+10.6150070120281j</v>
      </c>
      <c r="O254" s="159" t="str">
        <f t="shared" si="115"/>
        <v>0.0000126607002019143-0.105217976322368j</v>
      </c>
      <c r="P254" s="159" t="str">
        <f t="shared" si="116"/>
        <v>0.000080947533758493-0.672722326137018j</v>
      </c>
      <c r="R254" s="159">
        <f t="shared" si="117"/>
        <v>31.968031968031973</v>
      </c>
      <c r="S254" s="159" t="str">
        <f t="shared" si="118"/>
        <v>1+0.138754767070325j</v>
      </c>
      <c r="T254" s="159" t="str">
        <f t="shared" si="119"/>
        <v>-9232.47171081939+10.6150070120281j</v>
      </c>
      <c r="U254" s="159" t="str">
        <f t="shared" si="120"/>
        <v>-0.00010829593382237-0.0000151535074841629j</v>
      </c>
      <c r="V254" s="159" t="str">
        <f t="shared" si="121"/>
        <v>-0.0034620078744414-0.000484427811681531j</v>
      </c>
      <c r="X254" s="159" t="str">
        <f t="shared" si="122"/>
        <v>-0.104557450810382+0.141584911028013j</v>
      </c>
      <c r="Y254" s="159">
        <f t="shared" si="123"/>
        <v>-15.089389482769612</v>
      </c>
      <c r="Z254" s="159">
        <f t="shared" si="124"/>
        <v>-53.554919393383386</v>
      </c>
      <c r="AB254" s="159" t="str">
        <f t="shared" si="125"/>
        <v>-0.00152477774694622-0.000213357327320648j</v>
      </c>
      <c r="AC254" s="159">
        <f t="shared" si="126"/>
        <v>-56.251658065418638</v>
      </c>
      <c r="AD254" s="159">
        <f t="shared" si="127"/>
        <v>7.9654990066459561</v>
      </c>
      <c r="AF254" s="159" t="str">
        <f t="shared" si="128"/>
        <v>-0.00169804207521528+0.0000302194806858569j</v>
      </c>
      <c r="AG254" s="159">
        <f t="shared" si="129"/>
        <v>-55.399655769623578</v>
      </c>
      <c r="AH254" s="159">
        <f t="shared" si="130"/>
        <v>-1.0195659853703489</v>
      </c>
      <c r="AJ254" s="159" t="str">
        <f t="shared" si="131"/>
        <v>265.154334951208-6456.89561116423j</v>
      </c>
      <c r="AK254" s="159" t="str">
        <f t="shared" si="132"/>
        <v>29999.9999999996-0.00356797972466545j</v>
      </c>
      <c r="AL254" s="159" t="str">
        <f t="shared" si="146"/>
        <v>10000-5605.41301895291j</v>
      </c>
      <c r="AM254" s="159" t="str">
        <f t="shared" si="147"/>
        <v>383.151199131686-2211.01635415198j</v>
      </c>
      <c r="AN254" s="159" t="str">
        <f t="shared" si="148"/>
        <v>10383.1511991317-2211.01635415198j</v>
      </c>
      <c r="AO254" s="159" t="str">
        <f t="shared" si="149"/>
        <v>7780.08554000412-1216.5619098009j</v>
      </c>
      <c r="AP254" s="159" t="str">
        <f t="shared" si="150"/>
        <v>0.948086080786644+0.202268675092792j</v>
      </c>
      <c r="AQ254" s="159" t="str">
        <f t="shared" si="133"/>
        <v>1+396.04574943787j</v>
      </c>
      <c r="AR254" s="159">
        <f t="shared" si="134"/>
        <v>-2.3551286733904553E-2</v>
      </c>
      <c r="AS254" s="159" t="str">
        <f t="shared" si="135"/>
        <v>0.0108030100776847j</v>
      </c>
      <c r="AT254" s="159" t="str">
        <f t="shared" si="136"/>
        <v>-0.0235512867339046+0.0108030100776847j</v>
      </c>
      <c r="AU254" s="159" t="str">
        <f t="shared" si="137"/>
        <v>0.950656142949043-2.08637918930566j</v>
      </c>
      <c r="AW254" s="159" t="str">
        <f t="shared" si="151"/>
        <v>-0.493944276440384-0.605680820630812j</v>
      </c>
      <c r="AX254" s="159">
        <f t="shared" si="138"/>
        <v>-2.1407949582357531</v>
      </c>
      <c r="AY254" s="159">
        <f t="shared" si="139"/>
        <v>50.802099003929101</v>
      </c>
      <c r="AZ254" s="159" t="str">
        <f t="shared" si="140"/>
        <v>0.000623928799848585+0.00102891526771664j</v>
      </c>
      <c r="BA254" s="159">
        <f t="shared" si="141"/>
        <v>-58.392453023654369</v>
      </c>
      <c r="BB254" s="159">
        <f t="shared" si="142"/>
        <v>-121.232401989425</v>
      </c>
      <c r="BD254" s="159" t="str">
        <f t="shared" si="143"/>
        <v>0.000857041524068389+0.00101354477806026j</v>
      </c>
      <c r="BE254" s="159">
        <f t="shared" si="144"/>
        <v>-57.540450727859309</v>
      </c>
      <c r="BF254" s="159">
        <f t="shared" si="145"/>
        <v>-130.21746698144128</v>
      </c>
      <c r="BH254" s="159">
        <f t="shared" si="152"/>
        <v>58.540450727859309</v>
      </c>
      <c r="BI254" s="169">
        <f t="shared" si="153"/>
        <v>130.21746698144128</v>
      </c>
      <c r="BN254" s="165"/>
      <c r="BO254" s="165"/>
      <c r="BP254" s="165"/>
    </row>
    <row r="255" spans="1:68" s="159" customFormat="1">
      <c r="A255" s="159">
        <v>191</v>
      </c>
      <c r="B255" s="159">
        <f t="shared" si="103"/>
        <v>660693.44800759654</v>
      </c>
      <c r="C255" s="159" t="str">
        <f t="shared" si="104"/>
        <v>4151259.36507115j</v>
      </c>
      <c r="D255" s="159">
        <f t="shared" si="105"/>
        <v>-5.984253315842655</v>
      </c>
      <c r="E255" s="159" t="str">
        <f t="shared" si="106"/>
        <v>-4.15125936507115j</v>
      </c>
      <c r="F255" s="159" t="str">
        <f t="shared" si="107"/>
        <v>-5.98425331584265-4.15125936507115j</v>
      </c>
      <c r="G255" s="159">
        <f t="shared" si="108"/>
        <v>17.2463824826688</v>
      </c>
      <c r="H255" s="159">
        <f t="shared" si="109"/>
        <v>-145.25106573393219</v>
      </c>
      <c r="J255" s="159">
        <f t="shared" si="110"/>
        <v>6.3936063936063938</v>
      </c>
      <c r="K255" s="159" t="str">
        <f t="shared" si="111"/>
        <v>1+1017.20383852021j</v>
      </c>
      <c r="L255" s="159">
        <f t="shared" si="112"/>
        <v>-10123.300405618384</v>
      </c>
      <c r="M255" s="159" t="str">
        <f t="shared" si="113"/>
        <v>11.1152768800551j</v>
      </c>
      <c r="N255" s="159" t="str">
        <f t="shared" si="114"/>
        <v>-10123.3004056184+11.1152768800551j</v>
      </c>
      <c r="O255" s="159" t="str">
        <f t="shared" si="115"/>
        <v>0.0000115455356529952-0.100481430900128j</v>
      </c>
      <c r="P255" s="159" t="str">
        <f t="shared" si="116"/>
        <v>0.0000738176105686007-0.642438719041777j</v>
      </c>
      <c r="R255" s="159">
        <f t="shared" si="117"/>
        <v>31.968031968031973</v>
      </c>
      <c r="S255" s="159" t="str">
        <f t="shared" si="118"/>
        <v>1+0.14529407777749j</v>
      </c>
      <c r="T255" s="159" t="str">
        <f t="shared" si="119"/>
        <v>-10123.3004056184+11.1152768800551j</v>
      </c>
      <c r="U255" s="159" t="str">
        <f t="shared" si="120"/>
        <v>-0.0000987661358637437-0.0000144608857643641j</v>
      </c>
      <c r="V255" s="159" t="str">
        <f t="shared" si="121"/>
        <v>-0.00315735898865115-0.00046228605840125j</v>
      </c>
      <c r="X255" s="159" t="str">
        <f t="shared" si="122"/>
        <v>-0.104556733232623+0.150686921063986j</v>
      </c>
      <c r="Y255" s="159">
        <f t="shared" si="123"/>
        <v>-14.731613302080733</v>
      </c>
      <c r="Z255" s="159">
        <f t="shared" si="124"/>
        <v>-55.244482323880149</v>
      </c>
      <c r="AB255" s="159" t="str">
        <f t="shared" si="125"/>
        <v>-0.00139060074373537-0.000203605398987558j</v>
      </c>
      <c r="AC255" s="159">
        <f t="shared" si="126"/>
        <v>-57.04383297210515</v>
      </c>
      <c r="AD255" s="159">
        <f t="shared" si="127"/>
        <v>8.3297991259623814</v>
      </c>
      <c r="AF255" s="159" t="str">
        <f t="shared" si="128"/>
        <v>-0.0015474175386364+0.0000330229581341574j</v>
      </c>
      <c r="AG255" s="159">
        <f t="shared" si="129"/>
        <v>-56.205872266356678</v>
      </c>
      <c r="AH255" s="159">
        <f t="shared" si="130"/>
        <v>-1.2225459039946429</v>
      </c>
      <c r="AJ255" s="159" t="str">
        <f t="shared" si="131"/>
        <v>241.859454575552-6167.20099395843j</v>
      </c>
      <c r="AK255" s="159" t="str">
        <f t="shared" si="132"/>
        <v>29999.9999999995-0.00373613342856399j</v>
      </c>
      <c r="AL255" s="159" t="str">
        <f t="shared" si="146"/>
        <v>10000-5353.12787468805j</v>
      </c>
      <c r="AM255" s="159" t="str">
        <f t="shared" si="147"/>
        <v>362.11324467801-2127.83396054709j</v>
      </c>
      <c r="AN255" s="159" t="str">
        <f t="shared" si="148"/>
        <v>10362.113244678-2127.83396054709j</v>
      </c>
      <c r="AO255" s="159" t="str">
        <f t="shared" si="149"/>
        <v>7763.6615610372-1172.26879350883j</v>
      </c>
      <c r="AP255" s="159" t="str">
        <f t="shared" si="150"/>
        <v>0.952395068627384+0.194221246376864j</v>
      </c>
      <c r="AQ255" s="159" t="str">
        <f t="shared" si="133"/>
        <v>1+414.710810570608j</v>
      </c>
      <c r="AR255" s="159">
        <f t="shared" si="134"/>
        <v>-2.5823482042662219E-2</v>
      </c>
      <c r="AS255" s="159" t="str">
        <f t="shared" si="135"/>
        <v>0.0113121402572252j</v>
      </c>
      <c r="AT255" s="159" t="str">
        <f t="shared" si="136"/>
        <v>-0.0258234820426622+0.0113121402572252j</v>
      </c>
      <c r="AU255" s="159" t="str">
        <f t="shared" si="137"/>
        <v>0.880475295765631-2.0232190786879j</v>
      </c>
      <c r="AW255" s="159" t="str">
        <f t="shared" si="151"/>
        <v>-0.482916701459003-0.53910327580591j</v>
      </c>
      <c r="AX255" s="159">
        <f t="shared" si="138"/>
        <v>-2.8080061059672259</v>
      </c>
      <c r="AY255" s="159">
        <f t="shared" si="139"/>
        <v>48.146725374040614</v>
      </c>
      <c r="AZ255" s="159" t="str">
        <f t="shared" si="140"/>
        <v>0.000561779986645158+0.000848001863964187j</v>
      </c>
      <c r="BA255" s="159">
        <f t="shared" si="141"/>
        <v>-59.851839078072402</v>
      </c>
      <c r="BB255" s="159">
        <f t="shared" si="142"/>
        <v>-123.52347549999699</v>
      </c>
      <c r="BD255" s="159" t="str">
        <f t="shared" si="143"/>
        <v>0.000765076558445022+0.000818270526103832j</v>
      </c>
      <c r="BE255" s="159">
        <f t="shared" si="144"/>
        <v>-59.013878372323944</v>
      </c>
      <c r="BF255" s="159">
        <f t="shared" si="145"/>
        <v>-133.07582052995403</v>
      </c>
      <c r="BH255" s="159">
        <f t="shared" si="152"/>
        <v>60.013878372323944</v>
      </c>
      <c r="BI255" s="169">
        <f t="shared" si="153"/>
        <v>133.07582052995403</v>
      </c>
      <c r="BN255" s="165"/>
      <c r="BO255" s="165"/>
      <c r="BP255" s="165"/>
    </row>
    <row r="256" spans="1:68" s="159" customFormat="1">
      <c r="A256" s="159">
        <v>192</v>
      </c>
      <c r="B256" s="159">
        <f t="shared" ref="B256:B264" si="154">Fstart*10^(Step*A256)</f>
        <v>691830.97091893689</v>
      </c>
      <c r="C256" s="159" t="str">
        <f t="shared" ref="C256:C264" si="155">COMPLEX(0,2*PI()*B256,"j")</f>
        <v>4346902.19152965j</v>
      </c>
      <c r="D256" s="159">
        <f t="shared" ref="D256:D264" si="156">(IMPRODUCT(C256,C256))/wn^2 + 1</f>
        <v>-6.6580814771622272</v>
      </c>
      <c r="E256" s="159" t="str">
        <f t="shared" ref="E256:E264" si="157">IMDIV(C256,wn*Qn)</f>
        <v>-4.34690219152965j</v>
      </c>
      <c r="F256" s="159" t="str">
        <f t="shared" ref="F256:F264" si="158">IMSUM(D256,E256)</f>
        <v>-6.65808147716223-4.34690219152965j</v>
      </c>
      <c r="G256" s="159">
        <f t="shared" ref="G256:G264" si="159">20*LOG(IMABS(F256),10)</f>
        <v>18.008930117518631</v>
      </c>
      <c r="H256" s="159">
        <f t="shared" ref="H256:H264" si="160">(IMARGUMENT(F256)*(180/PI()))</f>
        <v>-146.86044089657858</v>
      </c>
      <c r="J256" s="159">
        <f t="shared" ref="J256:J264" si="161">Vin/(Rout+DCR/1000)</f>
        <v>6.3936063936063938</v>
      </c>
      <c r="K256" s="159" t="str">
        <f t="shared" ref="K256:K264" si="162">IMSUM(1,IMPRODUCT(C256,ncap*(Cap*10^-6)*(Rout+(ESR/(ncap*1000)))))</f>
        <v>1+1065.14317850147j</v>
      </c>
      <c r="L256" s="159">
        <f t="shared" ref="L256:L264" si="163">(IMPRODUCT(C256,C256))/Gdo^2 + 1</f>
        <v>-11100.074645964183</v>
      </c>
      <c r="M256" s="159" t="str">
        <f t="shared" ref="M256:M264" si="164">IMDIV(C256,Q*Gdo)</f>
        <v>11.6391237405958j</v>
      </c>
      <c r="N256" s="159" t="str">
        <f t="shared" ref="N256:N264" si="165">IMSUM(L256,M256)</f>
        <v>-11100.0746459642+11.6391237405958j</v>
      </c>
      <c r="O256" s="159" t="str">
        <f t="shared" ref="O256:O264" si="166">IMDIV(K256,N256)</f>
        <v>0.0000105286887117826-0.095958188564437j</v>
      </c>
      <c r="P256" s="159" t="str">
        <f t="shared" ref="P256:P264" si="167">IMPRODUCT(J256,O256)</f>
        <v>0.0000673162914639447-0.613518887924472j</v>
      </c>
      <c r="R256" s="159">
        <f t="shared" ref="R256:R264" si="168">Vin/(1+((DCR*10^-3)/Rout))</f>
        <v>31.968031968031973</v>
      </c>
      <c r="S256" s="159" t="str">
        <f t="shared" ref="S256:S264" si="169">IMSUM(1,IMPRODUCT(C256,ncap*(Cap*10^-6)*(ESR/(ncap*1000))))</f>
        <v>1+0.152141576703538j</v>
      </c>
      <c r="T256" s="159" t="str">
        <f t="shared" ref="T256:T264" si="170">IMSUM(L256,M256)</f>
        <v>-11100.0746459642+11.6391237405958j</v>
      </c>
      <c r="U256" s="159" t="str">
        <f t="shared" ref="U256:U264" si="171">IMDIV(S256,T256)</f>
        <v>-0.0000900750132415461-0.0000138008054733478j</v>
      </c>
      <c r="V256" s="159" t="str">
        <f t="shared" ref="V256:V264" si="172">IMPRODUCT(R256,U256)</f>
        <v>-0.00287952090282665-0.000441184590556573j</v>
      </c>
      <c r="X256" s="159" t="str">
        <f t="shared" ref="X256:X264" si="173">IMPRODUCT(Fm,Dmax,P256,F256)</f>
        <v>-0.104556078761381+0.160108515849255j</v>
      </c>
      <c r="Y256" s="159">
        <f t="shared" ref="Y256:Y264" si="174">20*LOG(IMABS(X256),10)</f>
        <v>-14.369141070995067</v>
      </c>
      <c r="Z256" s="159">
        <f t="shared" ref="Z256:Z264" si="175">IF((IMARGUMENT(X256)*(180/PI()))&lt;0,(IMARGUMENT(X256)*(180/PI()))+180,(IMARGUMENT(X256)*(180/PI()))-180)</f>
        <v>-56.854154310372635</v>
      </c>
      <c r="AB256" s="159" t="str">
        <f t="shared" ref="AB256:AB264" si="176">IMPRODUCT(Fm,V256)</f>
        <v>-0.0012682320646671-0.000194311645257244j</v>
      </c>
      <c r="AC256" s="159">
        <f t="shared" ref="AC256:AC264" si="177">20*LOG(IMABS(AB256),10)</f>
        <v>-57.835254266083894</v>
      </c>
      <c r="AD256" s="159">
        <f t="shared" ref="AD256:AD264" si="178">IF((IMARGUMENT(AB256)*(180/PI()))&lt;0,(IMARGUMENT(AB256)*(180/PI()))+180,(IMARGUMENT(AB256)*(180/PI()))-180)</f>
        <v>8.71080917185526</v>
      </c>
      <c r="AF256" s="159" t="str">
        <f t="shared" ref="AF256:AF264" si="179">IMDIV(AB256,IMSUM(1,X256))</f>
        <v>-0.00141003712896147+0.0000351192364002225j</v>
      </c>
      <c r="AG256" s="159">
        <f t="shared" ref="AG256:AG264" si="180">20*LOG(IMABS(AF256),10)</f>
        <v>-57.012695765444128</v>
      </c>
      <c r="AH256" s="159">
        <f t="shared" ref="AH256:AH264" si="181">IF((IMARGUMENT(AF256)*(180/PI()))&lt;0,(IMARGUMENT(AF256)*(180/PI()))+180,(IMARGUMENT(AF256)*(180/PI()))-180)</f>
        <v>-1.4267483176443534</v>
      </c>
      <c r="AJ256" s="159" t="str">
        <f t="shared" ref="AJ256:AJ264" si="182">IMDIV(_Rfb1,IMSUM(1,IMPRODUCT(C256,_Cfb1*_Rfb1)))</f>
        <v>220.608252214945-5890.42712567675j</v>
      </c>
      <c r="AK256" s="159" t="str">
        <f t="shared" ref="AK256:AK264" si="183">IMDIV(_Rfb2,IMSUM(1,IMPRODUCT(C256,_Cfb2*_Rfb2)))</f>
        <v>29999.9999999995-0.00391221197237663j</v>
      </c>
      <c r="AL256" s="159" t="str">
        <f t="shared" si="146"/>
        <v>10000-5112.19743235179j</v>
      </c>
      <c r="AM256" s="159" t="str">
        <f t="shared" si="147"/>
        <v>341.55018006797-2047.3084112917j</v>
      </c>
      <c r="AN256" s="159" t="str">
        <f t="shared" si="148"/>
        <v>10341.550180068-2047.3084112917j</v>
      </c>
      <c r="AO256" s="159" t="str">
        <f t="shared" si="149"/>
        <v>7747.80580937778-1129.28517322925j</v>
      </c>
      <c r="AP256" s="159" t="str">
        <f t="shared" si="150"/>
        <v>0.956366201617611+0.186409393165386j</v>
      </c>
      <c r="AQ256" s="159" t="str">
        <f t="shared" ref="AQ256:AQ264" si="184">IMSUM(1,IMPRODUCT(C256,_res1*_Cap1))</f>
        <v>1+434.255528933812j</v>
      </c>
      <c r="AR256" s="159">
        <f t="shared" ref="AR256:AR264" si="185">(IMPRODUCT(C256,C256))*_res1*_Cap1*_cap2 + (1/Roerr)</f>
        <v>-2.8314894656093863E-2</v>
      </c>
      <c r="AS256" s="159" t="str">
        <f t="shared" ref="AS256:AS264" si="186">IMPRODUCT(C256,(_Cap1+_cap2+(_Cap1*_res1/Roerr)))</f>
        <v>0.0118452650028964j</v>
      </c>
      <c r="AT256" s="159" t="str">
        <f t="shared" ref="AT256:AT264" si="187">IMSUM(AR256,AS256)</f>
        <v>-0.0283148946560939+0.0118452650028964j</v>
      </c>
      <c r="AU256" s="159" t="str">
        <f t="shared" ref="AU256:AU264" si="188">IMPRODUCT(EA_BW,IMDIV(AQ256,AT256))</f>
        <v>0.814541460000553-1.95974135042655j</v>
      </c>
      <c r="AW256" s="159" t="str">
        <f t="shared" si="151"/>
        <v>-0.468704119523899-0.47791572490858j</v>
      </c>
      <c r="AX256" s="159">
        <f t="shared" ref="AX256:AX264" si="189">20*LOG(IMABS(AW256),10)</f>
        <v>-3.4863766372578993</v>
      </c>
      <c r="AY256" s="159">
        <f t="shared" ref="AY256:AY264" si="190">IF((IMARGUMENT(AW256)*(180/PI()))&lt;0,(IMARGUMENT(AW256)*(180/PI()))+180,(IMARGUMENT(AW256)*(180/PI()))-180)</f>
        <v>45.557530518566608</v>
      </c>
      <c r="AZ256" s="159" t="str">
        <f t="shared" ref="AZ256:AZ264" si="191">IMPRODUCT(AW256,Fm,V256)</f>
        <v>0.000501561002420475+0.000697182715141219j</v>
      </c>
      <c r="BA256" s="159">
        <f t="shared" ref="BA256:BA264" si="192">20*LOG(IMABS(AZ256),10)</f>
        <v>-61.321630903341799</v>
      </c>
      <c r="BB256" s="159">
        <f t="shared" ref="BB256:BB264" si="193">IF((IMARGUMENT(AZ256)*(180/PI()))&lt;0,(IMARGUMENT(AZ256)*(180/PI()))+180,(IMARGUMENT(AZ256)*(180/PI()))-180)</f>
        <v>-125.73166030957813</v>
      </c>
      <c r="BD256" s="159" t="str">
        <f t="shared" ref="BD256:BD264" si="194">IMDIV(AZ256,IMSUM(1,X256))</f>
        <v>0.000677674246348339+0.000657418385860315j</v>
      </c>
      <c r="BE256" s="159">
        <f t="shared" ref="BE256:BE264" si="195">20*LOG(IMABS(BD256),10)</f>
        <v>-60.499072402702048</v>
      </c>
      <c r="BF256" s="159">
        <f t="shared" ref="BF256:BF264" si="196">IF((IMARGUMENT(BD256)*(180/PI()))&lt;0,(IMARGUMENT(BD256)*(180/PI()))+180,(IMARGUMENT(BD256)*(180/PI()))-180)</f>
        <v>-135.86921779907775</v>
      </c>
      <c r="BH256" s="159">
        <f t="shared" si="152"/>
        <v>61.499072402702048</v>
      </c>
      <c r="BI256" s="169">
        <f t="shared" si="153"/>
        <v>135.86921779907775</v>
      </c>
      <c r="BN256" s="165"/>
      <c r="BO256" s="165"/>
      <c r="BP256" s="165"/>
    </row>
    <row r="257" spans="1:68" s="159" customFormat="1">
      <c r="A257" s="159">
        <v>193</v>
      </c>
      <c r="B257" s="159">
        <f t="shared" si="154"/>
        <v>724435.96007499041</v>
      </c>
      <c r="C257" s="159" t="str">
        <f t="shared" si="155"/>
        <v>4551765.38033572j</v>
      </c>
      <c r="D257" s="159">
        <f t="shared" si="156"/>
        <v>-7.3969193639963891</v>
      </c>
      <c r="E257" s="159" t="str">
        <f t="shared" si="157"/>
        <v>-4.55176538033572j</v>
      </c>
      <c r="F257" s="159" t="str">
        <f t="shared" si="158"/>
        <v>-7.39691936399639-4.55176538033572j</v>
      </c>
      <c r="G257" s="159">
        <f t="shared" si="159"/>
        <v>18.775612888965373</v>
      </c>
      <c r="H257" s="159">
        <f t="shared" si="160"/>
        <v>-148.39353713112524</v>
      </c>
      <c r="J257" s="159">
        <f t="shared" si="161"/>
        <v>6.3936063936063938</v>
      </c>
      <c r="K257" s="159" t="str">
        <f t="shared" si="162"/>
        <v>1+1115.34182997056j</v>
      </c>
      <c r="L257" s="159">
        <f t="shared" si="163"/>
        <v>-12171.086303057671</v>
      </c>
      <c r="M257" s="159" t="str">
        <f t="shared" si="164"/>
        <v>12.1876587430748j</v>
      </c>
      <c r="N257" s="159" t="str">
        <f t="shared" si="165"/>
        <v>-12171.0863030577+12.1876587430748j</v>
      </c>
      <c r="O257" s="159" t="str">
        <f t="shared" si="166"/>
        <v>9.60147564421399E-06-0.0916386331654594j</v>
      </c>
      <c r="P257" s="159" t="str">
        <f t="shared" si="167"/>
        <v>0.0000613880560669026-0.585901350908032j</v>
      </c>
      <c r="R257" s="159">
        <f t="shared" si="168"/>
        <v>31.968031968031973</v>
      </c>
      <c r="S257" s="159" t="str">
        <f t="shared" si="169"/>
        <v>1+0.15931178831175j</v>
      </c>
      <c r="T257" s="159" t="str">
        <f t="shared" si="170"/>
        <v>-12171.0863030577+12.1876587430748j</v>
      </c>
      <c r="U257" s="159" t="str">
        <f t="shared" si="171"/>
        <v>-0.0000821487452992308-0.0000131716253745858j</v>
      </c>
      <c r="V257" s="159" t="str">
        <f t="shared" si="172"/>
        <v>-0.00262613371585953-0.0004210709410457j</v>
      </c>
      <c r="X257" s="159" t="str">
        <f t="shared" si="173"/>
        <v>-0.104555481849444+0.169869685323341j</v>
      </c>
      <c r="Y257" s="159">
        <f t="shared" si="174"/>
        <v>-14.002527068040409</v>
      </c>
      <c r="Z257" s="159">
        <f t="shared" si="175"/>
        <v>-58.387533942180781</v>
      </c>
      <c r="AB257" s="159" t="str">
        <f t="shared" si="176"/>
        <v>-0.00115663233466617-0.000185452957958908j</v>
      </c>
      <c r="AC257" s="159">
        <f t="shared" si="177"/>
        <v>-58.625853837173985</v>
      </c>
      <c r="AD257" s="159">
        <f t="shared" si="178"/>
        <v>9.1091992014526113</v>
      </c>
      <c r="AF257" s="159" t="str">
        <f t="shared" si="179"/>
        <v>-0.00128473936249931+0.0000366134501990968j</v>
      </c>
      <c r="AG257" s="159">
        <f t="shared" si="180"/>
        <v>-57.820173577894892</v>
      </c>
      <c r="AH257" s="159">
        <f t="shared" si="181"/>
        <v>-1.6324155541801133</v>
      </c>
      <c r="AJ257" s="159" t="str">
        <f t="shared" si="182"/>
        <v>201.221916927157-5626.00761252377j</v>
      </c>
      <c r="AK257" s="159" t="str">
        <f t="shared" si="183"/>
        <v>29999.9999999994-0.00409658884230208j</v>
      </c>
      <c r="AL257" s="159" t="str">
        <f t="shared" ref="AL257:AL264" si="197">IMDIV(IMSUM(1,IMPRODUCT(C257,10000,0.000000000045)),IMPRODUCT(C257,0.000000000045))</f>
        <v>10000-4882.11064617378j</v>
      </c>
      <c r="AM257" s="159" t="str">
        <f t="shared" ref="AM257:AM264" si="198">IMDIV(AL257,IMSUM(1,IMPRODUCT(C257,AL257,0.0000000001)))</f>
        <v>321.530132298201-1969.33666689418j</v>
      </c>
      <c r="AN257" s="159" t="str">
        <f t="shared" ref="AN257:AN264" si="199">IMSUM(10000,AM257)</f>
        <v>10321.5301322982-1969.33666689418j</v>
      </c>
      <c r="AO257" s="159" t="str">
        <f t="shared" ref="AO257:AO264" si="200">IMDIV(IMPRODUCT(AN257,AK257),IMSUM(AN257,AK257))</f>
        <v>7732.53579662942-1087.56151357882j</v>
      </c>
      <c r="AP257" s="159" t="str">
        <f t="shared" ref="AP257:AP264" si="201">IMDIV(AK257,IMSUM(AJ257,AK257))</f>
        <v>0.960022781127988+0.178836979705943j</v>
      </c>
      <c r="AQ257" s="159" t="str">
        <f t="shared" si="184"/>
        <v>1+454.721361495538j</v>
      </c>
      <c r="AR257" s="159">
        <f t="shared" si="185"/>
        <v>-3.1046674264317772E-2</v>
      </c>
      <c r="AS257" s="159" t="str">
        <f t="shared" si="186"/>
        <v>0.012403515143761j</v>
      </c>
      <c r="AT257" s="159" t="str">
        <f t="shared" si="187"/>
        <v>-0.0310466742643178+0.012403515143761j</v>
      </c>
      <c r="AU257" s="159" t="str">
        <f t="shared" si="188"/>
        <v>0.752735078028955-1.89623026233183j</v>
      </c>
      <c r="AW257" s="159" t="str">
        <f t="shared" ref="AW257:AW264" si="202">IMDIV(IMPRODUCT(AP257,AU257),IMPRODUCT(IMSUM(1,IMPRODUCT(C257,1/1500000)),IMSUM(1,IMPRODUCT(C257,1/35000000))))</f>
        <v>-0.451992612652686-0.42197877316356j</v>
      </c>
      <c r="AX257" s="159">
        <f t="shared" si="189"/>
        <v>-4.1752367744401404</v>
      </c>
      <c r="AY257" s="159">
        <f t="shared" si="190"/>
        <v>43.033126945811119</v>
      </c>
      <c r="AZ257" s="159" t="str">
        <f t="shared" si="191"/>
        <v>0.000444532059145283+0.000571897660575748j</v>
      </c>
      <c r="BA257" s="159">
        <f t="shared" si="192"/>
        <v>-62.801090611614157</v>
      </c>
      <c r="BB257" s="159">
        <f t="shared" si="193"/>
        <v>-127.85767385273626</v>
      </c>
      <c r="BD257" s="159" t="str">
        <f t="shared" si="194"/>
        <v>0.000596142799830107+0.000525583731008672j</v>
      </c>
      <c r="BE257" s="159">
        <f t="shared" si="195"/>
        <v>-61.995410352335071</v>
      </c>
      <c r="BF257" s="159">
        <f t="shared" si="196"/>
        <v>-138.59928860836897</v>
      </c>
      <c r="BH257" s="159">
        <f t="shared" ref="BH257:BH264" si="203">1-BE257</f>
        <v>62.995410352335071</v>
      </c>
      <c r="BI257" s="169">
        <f t="shared" ref="BI257:BI264" si="204">+-1*BF257</f>
        <v>138.59928860836897</v>
      </c>
      <c r="BN257" s="165"/>
      <c r="BO257" s="165"/>
      <c r="BP257" s="165"/>
    </row>
    <row r="258" spans="1:68" s="159" customFormat="1">
      <c r="A258" s="159">
        <v>194</v>
      </c>
      <c r="B258" s="159">
        <f t="shared" si="154"/>
        <v>758577.57502918388</v>
      </c>
      <c r="C258" s="159" t="str">
        <f t="shared" si="155"/>
        <v>4766283.47377929j</v>
      </c>
      <c r="D258" s="159">
        <f t="shared" si="156"/>
        <v>-8.2070389973945304</v>
      </c>
      <c r="E258" s="159" t="str">
        <f t="shared" si="157"/>
        <v>-4.76628347377929j</v>
      </c>
      <c r="F258" s="159" t="str">
        <f t="shared" si="158"/>
        <v>-8.20703899739453-4.76628347377929j</v>
      </c>
      <c r="G258" s="159">
        <f t="shared" si="159"/>
        <v>19.545943734308583</v>
      </c>
      <c r="H258" s="159">
        <f t="shared" si="160"/>
        <v>-149.85388446403476</v>
      </c>
      <c r="J258" s="159">
        <f t="shared" si="161"/>
        <v>6.3936063936063938</v>
      </c>
      <c r="K258" s="159" t="str">
        <f t="shared" si="162"/>
        <v>1+1167.90627099751j</v>
      </c>
      <c r="L258" s="159">
        <f t="shared" si="163"/>
        <v>-13345.427232875831</v>
      </c>
      <c r="M258" s="159" t="str">
        <f t="shared" si="164"/>
        <v>12.7620454037758j</v>
      </c>
      <c r="N258" s="159" t="str">
        <f t="shared" si="165"/>
        <v>-13345.4272328758+12.7620454037758j</v>
      </c>
      <c r="O258" s="159" t="str">
        <f t="shared" si="166"/>
        <v>8.75598231924953E-06-0.0875135834075201j</v>
      </c>
      <c r="P258" s="159" t="str">
        <f t="shared" si="167"/>
        <v>0.0000559823045386583-0.559527406401727j</v>
      </c>
      <c r="R258" s="159">
        <f t="shared" si="168"/>
        <v>31.968031968031973</v>
      </c>
      <c r="S258" s="159" t="str">
        <f t="shared" si="169"/>
        <v>1+0.166819921582275j</v>
      </c>
      <c r="T258" s="159" t="str">
        <f t="shared" si="170"/>
        <v>-13345.4272328758+12.7620454037758j</v>
      </c>
      <c r="U258" s="159" t="str">
        <f t="shared" si="171"/>
        <v>-0.0000749200112262412-0.0000125718009052485j</v>
      </c>
      <c r="V258" s="159" t="str">
        <f t="shared" si="172"/>
        <v>-0.00239504531392579-0.000401895733234717j</v>
      </c>
      <c r="X258" s="159" t="str">
        <f t="shared" si="173"/>
        <v>-0.104554937436773+0.179991139002694j</v>
      </c>
      <c r="Y258" s="159">
        <f t="shared" si="174"/>
        <v>-13.632258939843055</v>
      </c>
      <c r="Z258" s="159">
        <f t="shared" si="175"/>
        <v>-59.848151858750199</v>
      </c>
      <c r="AB258" s="159" t="str">
        <f t="shared" si="176"/>
        <v>-0.0010548536947482-0.000177007590061536j</v>
      </c>
      <c r="AC258" s="159">
        <f t="shared" si="177"/>
        <v>-59.415557521607639</v>
      </c>
      <c r="AD258" s="159">
        <f t="shared" si="178"/>
        <v>9.5256566708250148</v>
      </c>
      <c r="AF258" s="159" t="str">
        <f t="shared" si="179"/>
        <v>-0.00117046449010269+0.0000375965517950218j</v>
      </c>
      <c r="AG258" s="159">
        <f t="shared" si="180"/>
        <v>-58.628356574848198</v>
      </c>
      <c r="AH258" s="159">
        <f t="shared" si="181"/>
        <v>-1.8397682039023948</v>
      </c>
      <c r="AJ258" s="159" t="str">
        <f t="shared" si="182"/>
        <v>183.537201670674-5373.39960906818j</v>
      </c>
      <c r="AK258" s="159" t="str">
        <f t="shared" si="183"/>
        <v>29999.9999999994-0.00428965512640128j</v>
      </c>
      <c r="AL258" s="159" t="str">
        <f t="shared" si="197"/>
        <v>10000-4662.37947123228j</v>
      </c>
      <c r="AM258" s="159" t="str">
        <f t="shared" si="198"/>
        <v>302.113213635439-1893.82862749445j</v>
      </c>
      <c r="AN258" s="159" t="str">
        <f t="shared" si="199"/>
        <v>10302.1132136354-1893.82862749445j</v>
      </c>
      <c r="AO258" s="159" t="str">
        <f t="shared" si="200"/>
        <v>7717.86667822051-1047.05559304724j</v>
      </c>
      <c r="AP258" s="159" t="str">
        <f t="shared" si="201"/>
        <v>0.963387021459197+0.171506184077946j</v>
      </c>
      <c r="AQ258" s="159" t="str">
        <f t="shared" si="184"/>
        <v>1+476.151719030551j</v>
      </c>
      <c r="AR258" s="159">
        <f t="shared" si="185"/>
        <v>-3.4042011041403766E-2</v>
      </c>
      <c r="AS258" s="159" t="str">
        <f t="shared" si="186"/>
        <v>0.0129880748032138j</v>
      </c>
      <c r="AT258" s="159" t="str">
        <f t="shared" si="187"/>
        <v>-0.0340420110414038+0.0129880748032138j</v>
      </c>
      <c r="AU258" s="159" t="str">
        <f t="shared" si="188"/>
        <v>0.69491830132584-1.83294420822993j</v>
      </c>
      <c r="AW258" s="159" t="str">
        <f t="shared" si="202"/>
        <v>-0.433393037472657-0.371093906920293j</v>
      </c>
      <c r="AX258" s="159">
        <f t="shared" si="189"/>
        <v>-4.8739535711818887</v>
      </c>
      <c r="AY258" s="159">
        <f t="shared" si="190"/>
        <v>40.571876480223324</v>
      </c>
      <c r="AZ258" s="159" t="str">
        <f t="shared" si="191"/>
        <v>0.000391479808705697+0.0004681636359259j</v>
      </c>
      <c r="BA258" s="159">
        <f t="shared" si="192"/>
        <v>-64.289511092789525</v>
      </c>
      <c r="BB258" s="159">
        <f t="shared" si="193"/>
        <v>-129.90246684895166</v>
      </c>
      <c r="BD258" s="159" t="str">
        <f t="shared" si="194"/>
        <v>0.000521223011911837+0.000418058156762734j</v>
      </c>
      <c r="BE258" s="159">
        <f t="shared" si="195"/>
        <v>-63.502310146030055</v>
      </c>
      <c r="BF258" s="159">
        <f t="shared" si="196"/>
        <v>-141.2678917236791</v>
      </c>
      <c r="BH258" s="159">
        <f t="shared" si="203"/>
        <v>64.502310146030055</v>
      </c>
      <c r="BI258" s="169">
        <f t="shared" si="204"/>
        <v>141.2678917236791</v>
      </c>
      <c r="BN258" s="165"/>
      <c r="BO258" s="165"/>
      <c r="BP258" s="165"/>
    </row>
    <row r="259" spans="1:68" s="159" customFormat="1">
      <c r="A259" s="159">
        <v>195</v>
      </c>
      <c r="B259" s="159">
        <f t="shared" si="154"/>
        <v>794328.23472428159</v>
      </c>
      <c r="C259" s="159" t="str">
        <f t="shared" si="155"/>
        <v>4990911.4934975j</v>
      </c>
      <c r="D259" s="159">
        <f t="shared" si="156"/>
        <v>-9.09531751168306</v>
      </c>
      <c r="E259" s="159" t="str">
        <f t="shared" si="157"/>
        <v>-4.9909114934975j</v>
      </c>
      <c r="F259" s="159" t="str">
        <f t="shared" si="158"/>
        <v>-9.09531751168306-4.9909114934975j</v>
      </c>
      <c r="G259" s="159">
        <f t="shared" si="159"/>
        <v>20.319494728851556</v>
      </c>
      <c r="H259" s="159">
        <f t="shared" si="160"/>
        <v>-151.24491877741042</v>
      </c>
      <c r="J259" s="159">
        <f t="shared" si="161"/>
        <v>6.3936063936063938</v>
      </c>
      <c r="K259" s="159" t="str">
        <f t="shared" si="162"/>
        <v>1+1222.94799780916j</v>
      </c>
      <c r="L259" s="159">
        <f t="shared" si="163"/>
        <v>-14633.066457259894</v>
      </c>
      <c r="M259" s="159" t="str">
        <f t="shared" si="164"/>
        <v>13.3635020738154j</v>
      </c>
      <c r="N259" s="159" t="str">
        <f t="shared" si="165"/>
        <v>-14633.0664572599+13.3635020738154j</v>
      </c>
      <c r="O259" s="159" t="str">
        <f t="shared" si="166"/>
        <v>7.98499556156895E-06-0.0835742730119916j</v>
      </c>
      <c r="P259" s="159" t="str">
        <f t="shared" si="167"/>
        <v>0.0000510529186753659-0.534341006270476j</v>
      </c>
      <c r="R259" s="159">
        <f t="shared" si="168"/>
        <v>31.968031968031973</v>
      </c>
      <c r="S259" s="159" t="str">
        <f t="shared" si="169"/>
        <v>1+0.174681902272412j</v>
      </c>
      <c r="T259" s="159" t="str">
        <f t="shared" si="170"/>
        <v>-14633.0664572599+13.3635020738154j</v>
      </c>
      <c r="U259" s="159" t="str">
        <f t="shared" si="171"/>
        <v>-0.0000683274173968085-0.0000119998768794886j</v>
      </c>
      <c r="V259" s="159" t="str">
        <f t="shared" si="172"/>
        <v>-0.00218429306363424-0.000383612447695939j</v>
      </c>
      <c r="X259" s="159" t="str">
        <f t="shared" si="173"/>
        <v>-0.104554440907789+0.190494349999552j</v>
      </c>
      <c r="Y259" s="159">
        <f t="shared" si="174"/>
        <v>-13.25876514363082</v>
      </c>
      <c r="Z259" s="159">
        <f t="shared" si="175"/>
        <v>-61.23944452645712</v>
      </c>
      <c r="AB259" s="159" t="str">
        <f t="shared" si="176"/>
        <v>-0.000962031739103387-0.000168955052938093j</v>
      </c>
      <c r="AC259" s="159">
        <f t="shared" si="177"/>
        <v>-60.204284649270214</v>
      </c>
      <c r="AD259" s="159">
        <f t="shared" si="178"/>
        <v>9.9608852546940909</v>
      </c>
      <c r="AF259" s="159" t="str">
        <f t="shared" si="179"/>
        <v>-0.00106624563447032+0.0000381471724253337j</v>
      </c>
      <c r="AG259" s="159">
        <f t="shared" si="180"/>
        <v>-59.437299261799041</v>
      </c>
      <c r="AH259" s="159">
        <f t="shared" si="181"/>
        <v>-2.0490026607688208</v>
      </c>
      <c r="AJ259" s="159" t="str">
        <f t="shared" si="182"/>
        <v>167.40508225201-5132.08300723281j</v>
      </c>
      <c r="AK259" s="159" t="str">
        <f t="shared" si="183"/>
        <v>29999.9999999993-0.00449182034414765j</v>
      </c>
      <c r="AL259" s="159" t="str">
        <f t="shared" si="197"/>
        <v>9999.99999999996-4452.53782824536j</v>
      </c>
      <c r="AM259" s="159" t="str">
        <f t="shared" si="198"/>
        <v>283.351028156291-1820.70550283739j</v>
      </c>
      <c r="AN259" s="159" t="str">
        <f t="shared" si="199"/>
        <v>10283.3510281563-1820.70550283739j</v>
      </c>
      <c r="AO259" s="159" t="str">
        <f t="shared" si="200"/>
        <v>7703.81067512319-1007.73160987935j</v>
      </c>
      <c r="AP259" s="159" t="str">
        <f t="shared" si="201"/>
        <v>0.966480009678929+0.164417704155001j</v>
      </c>
      <c r="AQ259" s="159" t="str">
        <f t="shared" si="184"/>
        <v>1+498.5920582004j</v>
      </c>
      <c r="AR259" s="159">
        <f t="shared" si="185"/>
        <v>-3.7326332507584208E-2</v>
      </c>
      <c r="AS259" s="159" t="str">
        <f t="shared" si="186"/>
        <v>0.0136001839106658j</v>
      </c>
      <c r="AT259" s="159" t="str">
        <f t="shared" si="187"/>
        <v>-0.0373263325075842+0.0136001839106658j</v>
      </c>
      <c r="AU259" s="159" t="str">
        <f t="shared" si="188"/>
        <v>0.640938866989617-1.77011556787912j</v>
      </c>
      <c r="AW259" s="159" t="str">
        <f t="shared" si="202"/>
        <v>-0.413441689138041-0.325018552850705j</v>
      </c>
      <c r="AX259" s="159">
        <f t="shared" si="189"/>
        <v>-5.5819321867128409</v>
      </c>
      <c r="AY259" s="159">
        <f t="shared" si="190"/>
        <v>38.171919591656433</v>
      </c>
      <c r="AZ259" s="159" t="str">
        <f t="shared" si="191"/>
        <v>0.000342830500416558+0.000382531226114962j</v>
      </c>
      <c r="BA259" s="159">
        <f t="shared" si="192"/>
        <v>-65.786216835983055</v>
      </c>
      <c r="BB259" s="159">
        <f t="shared" si="193"/>
        <v>-131.86719515364948</v>
      </c>
      <c r="BD259" s="159" t="str">
        <f t="shared" si="194"/>
        <v>0.000453228934928498+0.000330777981695554j</v>
      </c>
      <c r="BE259" s="159">
        <f t="shared" si="195"/>
        <v>-65.019231448511903</v>
      </c>
      <c r="BF259" s="159">
        <f t="shared" si="196"/>
        <v>-143.87708306911236</v>
      </c>
      <c r="BH259" s="159">
        <f t="shared" si="203"/>
        <v>66.019231448511903</v>
      </c>
      <c r="BI259" s="169">
        <f t="shared" si="204"/>
        <v>143.87708306911236</v>
      </c>
      <c r="BN259" s="165"/>
      <c r="BO259" s="165"/>
      <c r="BP259" s="165"/>
    </row>
    <row r="260" spans="1:68" s="159" customFormat="1">
      <c r="A260" s="159">
        <v>196</v>
      </c>
      <c r="B260" s="159">
        <f t="shared" si="154"/>
        <v>831763.77110267093</v>
      </c>
      <c r="C260" s="159" t="str">
        <f t="shared" si="155"/>
        <v>5226125.90563659j</v>
      </c>
      <c r="D260" s="159">
        <f t="shared" si="156"/>
        <v>-10.069295534703009</v>
      </c>
      <c r="E260" s="159" t="str">
        <f t="shared" si="157"/>
        <v>-5.22612590563659j</v>
      </c>
      <c r="F260" s="159" t="str">
        <f t="shared" si="158"/>
        <v>-10.069295534703-5.22612590563659j</v>
      </c>
      <c r="G260" s="159">
        <f t="shared" si="159"/>
        <v>21.09589022982577</v>
      </c>
      <c r="H260" s="159">
        <f t="shared" si="160"/>
        <v>-152.56996336180123</v>
      </c>
      <c r="J260" s="159">
        <f t="shared" si="161"/>
        <v>6.3936063936063938</v>
      </c>
      <c r="K260" s="159" t="str">
        <f t="shared" si="162"/>
        <v>1+1280.58376128766j</v>
      </c>
      <c r="L260" s="159">
        <f t="shared" si="163"/>
        <v>-16044.934791295907</v>
      </c>
      <c r="M260" s="159" t="str">
        <f t="shared" si="164"/>
        <v>13.9933045234295j</v>
      </c>
      <c r="N260" s="159" t="str">
        <f t="shared" si="165"/>
        <v>-16044.9347912959+13.9933045234295j</v>
      </c>
      <c r="O260" s="159" t="str">
        <f t="shared" si="166"/>
        <v>7.28194070117356E-06-0.0798123318072904j</v>
      </c>
      <c r="P260" s="159" t="str">
        <f t="shared" si="167"/>
        <v>0.0000465578626248859-0.510288634931727j</v>
      </c>
      <c r="R260" s="159">
        <f t="shared" si="168"/>
        <v>31.968031968031973</v>
      </c>
      <c r="S260" s="159" t="str">
        <f t="shared" si="169"/>
        <v>1+0.182914406697281j</v>
      </c>
      <c r="T260" s="159" t="str">
        <f t="shared" si="170"/>
        <v>-16044.9347912959+13.9933045234295j</v>
      </c>
      <c r="U260" s="159" t="str">
        <f t="shared" si="171"/>
        <v>-0.0000623149752221488-0.0000114544809008283j</v>
      </c>
      <c r="V260" s="159" t="str">
        <f t="shared" si="172"/>
        <v>-0.00199208711998877-0.000366177211614891j</v>
      </c>
      <c r="X260" s="159" t="str">
        <f t="shared" si="173"/>
        <v>-0.104553988052399+0.20140160064873j</v>
      </c>
      <c r="Y260" s="159">
        <f t="shared" si="174"/>
        <v>-12.882421807833131</v>
      </c>
      <c r="Z260" s="159">
        <f t="shared" si="175"/>
        <v>-62.564735792849845</v>
      </c>
      <c r="AB260" s="159" t="str">
        <f t="shared" si="176"/>
        <v>-0.000877378163395186-0.000161276023613693j</v>
      </c>
      <c r="AC260" s="159">
        <f t="shared" si="177"/>
        <v>-60.991947568533583</v>
      </c>
      <c r="AD260" s="159">
        <f t="shared" si="178"/>
        <v>10.415603369424474</v>
      </c>
      <c r="AF260" s="159" t="str">
        <f t="shared" si="179"/>
        <v>-0.000971200692296615+0.0000383332438896478j</v>
      </c>
      <c r="AG260" s="159">
        <f t="shared" si="180"/>
        <v>-60.247059824466746</v>
      </c>
      <c r="AH260" s="159">
        <f t="shared" si="181"/>
        <v>-2.2602883557163693</v>
      </c>
      <c r="AJ260" s="159" t="str">
        <f t="shared" si="182"/>
        <v>152.689529521361-4901.5596300758j</v>
      </c>
      <c r="AK260" s="159" t="str">
        <f t="shared" si="183"/>
        <v>29999.9999999993-0.00470351331507282j</v>
      </c>
      <c r="AL260" s="159" t="str">
        <f t="shared" si="197"/>
        <v>10000-4252.1406149543j</v>
      </c>
      <c r="AM260" s="159" t="str">
        <f t="shared" si="198"/>
        <v>265.286413074869-1749.89818264292j</v>
      </c>
      <c r="AN260" s="159" t="str">
        <f t="shared" si="199"/>
        <v>10265.2864130749-1749.89818264292j</v>
      </c>
      <c r="AO260" s="159" t="str">
        <f t="shared" si="200"/>
        <v>7690.37665693069-969.55926388071j</v>
      </c>
      <c r="AP260" s="159" t="str">
        <f t="shared" si="201"/>
        <v>0.969321686154597+0.157570948902084j</v>
      </c>
      <c r="AQ260" s="159" t="str">
        <f t="shared" si="184"/>
        <v>1+522.089977973095j</v>
      </c>
      <c r="AR260" s="159">
        <f t="shared" si="185"/>
        <v>-4.0927519384376498E-2</v>
      </c>
      <c r="AS260" s="159" t="str">
        <f t="shared" si="186"/>
        <v>0.0142411408316007j</v>
      </c>
      <c r="AT260" s="159" t="str">
        <f t="shared" si="187"/>
        <v>-0.0409275193843765+0.0142411408316007j</v>
      </c>
      <c r="AU260" s="159" t="str">
        <f t="shared" si="188"/>
        <v>0.590633677833636-1.70795104031478j</v>
      </c>
      <c r="AW260" s="159" t="str">
        <f t="shared" si="202"/>
        <v>-0.392602907395374-0.283479305631082j</v>
      </c>
      <c r="AX260" s="159">
        <f t="shared" si="189"/>
        <v>-6.2986167256789258</v>
      </c>
      <c r="AY260" s="159">
        <f t="shared" si="190"/>
        <v>35.831203526700932</v>
      </c>
      <c r="AZ260" s="159" t="str">
        <f t="shared" si="191"/>
        <v>0.000298742802645212+0.000312035988299042j</v>
      </c>
      <c r="BA260" s="159">
        <f t="shared" si="192"/>
        <v>-67.290564294212516</v>
      </c>
      <c r="BB260" s="159">
        <f t="shared" si="193"/>
        <v>-133.75319310387465</v>
      </c>
      <c r="BD260" s="159" t="str">
        <f t="shared" si="194"/>
        <v>0.000392162896820475+0.000260265554879699j</v>
      </c>
      <c r="BE260" s="159">
        <f t="shared" si="195"/>
        <v>-66.545676550145672</v>
      </c>
      <c r="BF260" s="159">
        <f t="shared" si="196"/>
        <v>-146.42908482901541</v>
      </c>
      <c r="BH260" s="159">
        <f t="shared" si="203"/>
        <v>67.545676550145672</v>
      </c>
      <c r="BI260" s="169">
        <f t="shared" si="204"/>
        <v>146.42908482901541</v>
      </c>
      <c r="BN260" s="165"/>
      <c r="BO260" s="165"/>
      <c r="BP260" s="165"/>
    </row>
    <row r="261" spans="1:68" s="159" customFormat="1">
      <c r="A261" s="159">
        <v>197</v>
      </c>
      <c r="B261" s="159">
        <f t="shared" si="154"/>
        <v>870963.58995608194</v>
      </c>
      <c r="C261" s="159" t="str">
        <f t="shared" si="155"/>
        <v>5472425.63150044j</v>
      </c>
      <c r="D261" s="159">
        <f t="shared" si="156"/>
        <v>-11.137241200466981</v>
      </c>
      <c r="E261" s="159" t="str">
        <f t="shared" si="157"/>
        <v>-5.47242563150044j</v>
      </c>
      <c r="F261" s="159" t="str">
        <f t="shared" si="158"/>
        <v>-11.137241200467-5.47242563150044j</v>
      </c>
      <c r="G261" s="159">
        <f t="shared" si="159"/>
        <v>21.874800640338982</v>
      </c>
      <c r="H261" s="159">
        <f t="shared" si="160"/>
        <v>-153.83221668345351</v>
      </c>
      <c r="J261" s="159">
        <f t="shared" si="161"/>
        <v>6.3936063936063938</v>
      </c>
      <c r="K261" s="159" t="str">
        <f t="shared" si="162"/>
        <v>1+1340.93581461471j</v>
      </c>
      <c r="L261" s="159">
        <f t="shared" si="163"/>
        <v>-17593.01763539133</v>
      </c>
      <c r="M261" s="159" t="str">
        <f t="shared" si="164"/>
        <v>14.6527886480528j</v>
      </c>
      <c r="N261" s="159" t="str">
        <f t="shared" si="165"/>
        <v>-17593.0176353913+14.6527886480528j</v>
      </c>
      <c r="O261" s="159" t="str">
        <f t="shared" si="166"/>
        <v>6.64082474821748E-06-0.0762197676998056j</v>
      </c>
      <c r="P261" s="159" t="str">
        <f t="shared" si="167"/>
        <v>0.0000424588195690229-0.487319194084671j</v>
      </c>
      <c r="R261" s="159">
        <f t="shared" si="168"/>
        <v>31.968031968031973</v>
      </c>
      <c r="S261" s="159" t="str">
        <f t="shared" si="169"/>
        <v>1+0.191534897102515j</v>
      </c>
      <c r="T261" s="159" t="str">
        <f t="shared" si="170"/>
        <v>-17593.0176353913+14.6527886480528j</v>
      </c>
      <c r="U261" s="159" t="str">
        <f t="shared" si="171"/>
        <v>-0.0000568316250503123-0.000010934317402486j</v>
      </c>
      <c r="V261" s="159" t="str">
        <f t="shared" si="172"/>
        <v>-0.00181679520640359-0.000349548608271281j</v>
      </c>
      <c r="X261" s="159" t="str">
        <f t="shared" si="173"/>
        <v>-0.10455357503042+0.21273602984061j</v>
      </c>
      <c r="Y261" s="159">
        <f t="shared" si="174"/>
        <v>-12.503558972259153</v>
      </c>
      <c r="Z261" s="159">
        <f t="shared" si="175"/>
        <v>-63.827224655255606</v>
      </c>
      <c r="AB261" s="159" t="str">
        <f t="shared" si="176"/>
        <v>-0.000800174061397749-0.000153952260855002j</v>
      </c>
      <c r="AC261" s="159">
        <f t="shared" si="177"/>
        <v>-61.778451150414085</v>
      </c>
      <c r="AD261" s="159">
        <f t="shared" si="178"/>
        <v>10.890542361132788</v>
      </c>
      <c r="AF261" s="159" t="str">
        <f t="shared" si="179"/>
        <v>-0.000884524936320641+0.000038213411141858j</v>
      </c>
      <c r="AG261" s="159">
        <f t="shared" si="180"/>
        <v>-61.057700138357788</v>
      </c>
      <c r="AH261" s="159">
        <f t="shared" si="181"/>
        <v>-2.4737646743046469</v>
      </c>
      <c r="AJ261" s="159" t="str">
        <f t="shared" si="182"/>
        <v>139.266385644205-4681.35243415745j</v>
      </c>
      <c r="AK261" s="159" t="str">
        <f t="shared" si="183"/>
        <v>29999.9999999992-0.00492518306835026j</v>
      </c>
      <c r="AL261" s="159" t="str">
        <f t="shared" si="197"/>
        <v>10000-4060.76276200199j</v>
      </c>
      <c r="AM261" s="159" t="str">
        <f t="shared" si="198"/>
        <v>247.953402892145-1681.34565085036j</v>
      </c>
      <c r="AN261" s="159" t="str">
        <f t="shared" si="199"/>
        <v>10247.9534028921-1681.34565085036j</v>
      </c>
      <c r="AO261" s="159" t="str">
        <f t="shared" si="200"/>
        <v>7677.56988084601-932.512843104278j</v>
      </c>
      <c r="AP261" s="159" t="str">
        <f t="shared" si="201"/>
        <v>0.971930842262598+0.150964214516525j</v>
      </c>
      <c r="AQ261" s="159" t="str">
        <f t="shared" si="184"/>
        <v>1+546.695320586894j</v>
      </c>
      <c r="AR261" s="159">
        <f t="shared" si="185"/>
        <v>-4.4876142275016045E-2</v>
      </c>
      <c r="AS261" s="159" t="str">
        <f t="shared" si="186"/>
        <v>0.0149123051215824j</v>
      </c>
      <c r="AT261" s="159" t="str">
        <f t="shared" si="187"/>
        <v>-0.044876142275016+0.0149123051215824j</v>
      </c>
      <c r="AU261" s="159" t="str">
        <f t="shared" si="188"/>
        <v>0.543832048243573-1.64663237309661j</v>
      </c>
      <c r="AW261" s="159" t="str">
        <f t="shared" si="202"/>
        <v>-0.371273102280473-0.246183273781271j</v>
      </c>
      <c r="AX261" s="159">
        <f t="shared" si="189"/>
        <v>-7.0234907015375363</v>
      </c>
      <c r="AY261" s="159">
        <f t="shared" si="190"/>
        <v>33.547509042774124</v>
      </c>
      <c r="AZ261" s="159" t="str">
        <f t="shared" si="191"/>
        <v>0.000259182634556196+0.000254147803520483j</v>
      </c>
      <c r="BA261" s="159">
        <f t="shared" si="192"/>
        <v>-68.801941851951611</v>
      </c>
      <c r="BB261" s="159">
        <f t="shared" si="193"/>
        <v>-135.56194859609315</v>
      </c>
      <c r="BD261" s="159" t="str">
        <f t="shared" si="194"/>
        <v>0.000337807819809455+0.000203567632861229j</v>
      </c>
      <c r="BE261" s="159">
        <f t="shared" si="195"/>
        <v>-68.081190839895299</v>
      </c>
      <c r="BF261" s="159">
        <f t="shared" si="196"/>
        <v>-148.92625563153052</v>
      </c>
      <c r="BH261" s="159">
        <f t="shared" si="203"/>
        <v>69.081190839895299</v>
      </c>
      <c r="BI261" s="169">
        <f t="shared" si="204"/>
        <v>148.92625563153052</v>
      </c>
      <c r="BN261" s="165"/>
      <c r="BO261" s="165"/>
      <c r="BP261" s="165"/>
    </row>
    <row r="262" spans="1:68" s="159" customFormat="1">
      <c r="A262" s="159">
        <v>198</v>
      </c>
      <c r="B262" s="159">
        <f t="shared" si="154"/>
        <v>912010.8393559109</v>
      </c>
      <c r="C262" s="159" t="str">
        <f t="shared" si="155"/>
        <v>5730333.10582958j</v>
      </c>
      <c r="D262" s="159">
        <f t="shared" si="156"/>
        <v>-12.308220337642773</v>
      </c>
      <c r="E262" s="159" t="str">
        <f t="shared" si="157"/>
        <v>-5.73033310582958j</v>
      </c>
      <c r="F262" s="159" t="str">
        <f t="shared" si="158"/>
        <v>-12.3082203376428-5.73033310582958j</v>
      </c>
      <c r="G262" s="159">
        <f t="shared" si="159"/>
        <v>22.655936796951814</v>
      </c>
      <c r="H262" s="159">
        <f t="shared" si="160"/>
        <v>-155.03474503882154</v>
      </c>
      <c r="J262" s="159">
        <f t="shared" si="161"/>
        <v>6.3936063936063938</v>
      </c>
      <c r="K262" s="159" t="str">
        <f t="shared" si="162"/>
        <v>1+1404.13217258695j</v>
      </c>
      <c r="L262" s="159">
        <f t="shared" si="163"/>
        <v>-19290.456719765258</v>
      </c>
      <c r="M262" s="159" t="str">
        <f t="shared" si="164"/>
        <v>15.3433533019323j</v>
      </c>
      <c r="N262" s="159" t="str">
        <f t="shared" si="165"/>
        <v>-19290.4567197653+15.3433533019323j</v>
      </c>
      <c r="O262" s="159" t="str">
        <f t="shared" si="166"/>
        <v>0.0000060561846761852-0.0727889494822626j</v>
      </c>
      <c r="P262" s="159" t="str">
        <f t="shared" si="167"/>
        <v>0.0000387208610665188-0.465383892793687j</v>
      </c>
      <c r="R262" s="159">
        <f t="shared" si="168"/>
        <v>31.968031968031973</v>
      </c>
      <c r="S262" s="159" t="str">
        <f t="shared" si="169"/>
        <v>1+0.200561658704035j</v>
      </c>
      <c r="T262" s="159" t="str">
        <f t="shared" si="170"/>
        <v>-19290.4567197653+15.3433533019323j</v>
      </c>
      <c r="U262" s="159" t="str">
        <f t="shared" si="171"/>
        <v>-0.0000518308020444331-0.0000104381622445161j</v>
      </c>
      <c r="V262" s="159" t="str">
        <f t="shared" si="172"/>
        <v>-0.00165692873668517-0.000333687504320195j</v>
      </c>
      <c r="X262" s="159" t="str">
        <f t="shared" si="173"/>
        <v>-0.104553198339124+0.224521682162065j</v>
      </c>
      <c r="Y262" s="159">
        <f t="shared" si="174"/>
        <v>-12.122466204284418</v>
      </c>
      <c r="Z262" s="159">
        <f t="shared" si="175"/>
        <v>-65.029977916565088</v>
      </c>
      <c r="AB262" s="159" t="str">
        <f t="shared" si="176"/>
        <v>-0.000729763812677899-0.000146966529099403j</v>
      </c>
      <c r="AC262" s="159">
        <f t="shared" si="177"/>
        <v>-62.563692274529679</v>
      </c>
      <c r="AD262" s="159">
        <f t="shared" si="178"/>
        <v>11.386444317980875</v>
      </c>
      <c r="AF262" s="159" t="str">
        <f t="shared" si="179"/>
        <v>-0.000805484257616848+0.0000378382627677592j</v>
      </c>
      <c r="AG262" s="159">
        <f t="shared" si="180"/>
        <v>-61.869285733024178</v>
      </c>
      <c r="AH262" s="159">
        <f t="shared" si="181"/>
        <v>-2.68953755656608</v>
      </c>
      <c r="AJ262" s="159" t="str">
        <f t="shared" si="182"/>
        <v>127.022335951882-4471.00472361534j</v>
      </c>
      <c r="AK262" s="159" t="str">
        <f t="shared" si="183"/>
        <v>29999.9999999991-0.00515729979524646j</v>
      </c>
      <c r="AL262" s="159" t="str">
        <f t="shared" si="197"/>
        <v>10000-3877.99833130383j</v>
      </c>
      <c r="AM262" s="159" t="str">
        <f t="shared" si="198"/>
        <v>231.377396182263-1614.99348142377j</v>
      </c>
      <c r="AN262" s="159" t="str">
        <f t="shared" si="199"/>
        <v>10231.3773961823-1614.99348142377j</v>
      </c>
      <c r="AO262" s="159" t="str">
        <f t="shared" si="200"/>
        <v>7665.39187560867-896.570341338229j</v>
      </c>
      <c r="AP262" s="159" t="str">
        <f t="shared" si="201"/>
        <v>0.974325132114671+0.144594845352855j</v>
      </c>
      <c r="AQ262" s="159" t="str">
        <f t="shared" si="184"/>
        <v>1+572.460277272375j</v>
      </c>
      <c r="AR262" s="159">
        <f t="shared" si="185"/>
        <v>-4.9205721179394105E-2</v>
      </c>
      <c r="AS262" s="159" t="str">
        <f t="shared" si="186"/>
        <v>0.0156151004100545j</v>
      </c>
      <c r="AT262" s="159" t="str">
        <f t="shared" si="187"/>
        <v>-0.0492057211793941+0.0156151004100545j</v>
      </c>
      <c r="AU262" s="159" t="str">
        <f t="shared" si="188"/>
        <v>0.500358595594294-1.58631740392629j</v>
      </c>
      <c r="AW262" s="159" t="str">
        <f t="shared" si="202"/>
        <v>-0.349785743774214-0.2128275845326j</v>
      </c>
      <c r="AX262" s="159">
        <f t="shared" si="189"/>
        <v>-7.7560771801421824</v>
      </c>
      <c r="AY262" s="159">
        <f t="shared" si="190"/>
        <v>31.318475616742376</v>
      </c>
      <c r="AZ262" s="159" t="str">
        <f t="shared" si="191"/>
        <v>0.000223982446601679+0.000206720666222487j</v>
      </c>
      <c r="BA262" s="159">
        <f t="shared" si="192"/>
        <v>-70.319769454671871</v>
      </c>
      <c r="BB262" s="159">
        <f t="shared" si="193"/>
        <v>-137.29508006527681</v>
      </c>
      <c r="BD262" s="159" t="str">
        <f t="shared" si="194"/>
        <v>0.000289799936216702+0.000158193984042283j</v>
      </c>
      <c r="BE262" s="159">
        <f t="shared" si="195"/>
        <v>-69.62536291316637</v>
      </c>
      <c r="BF262" s="159">
        <f t="shared" si="196"/>
        <v>-151.37106193982382</v>
      </c>
      <c r="BH262" s="159">
        <f t="shared" si="203"/>
        <v>70.62536291316637</v>
      </c>
      <c r="BI262" s="169">
        <f t="shared" si="204"/>
        <v>151.37106193982382</v>
      </c>
      <c r="BN262" s="165"/>
      <c r="BO262" s="165"/>
      <c r="BP262" s="165"/>
    </row>
    <row r="263" spans="1:68" s="159" customFormat="1">
      <c r="A263" s="159">
        <v>199</v>
      </c>
      <c r="B263" s="159">
        <f t="shared" si="154"/>
        <v>954992.58602143696</v>
      </c>
      <c r="C263" s="159" t="str">
        <f t="shared" si="155"/>
        <v>6000395.38495533j</v>
      </c>
      <c r="D263" s="159">
        <f t="shared" si="156"/>
        <v>-13.592173429694581</v>
      </c>
      <c r="E263" s="159" t="str">
        <f t="shared" si="157"/>
        <v>-6.00039538495533j</v>
      </c>
      <c r="F263" s="159" t="str">
        <f t="shared" si="158"/>
        <v>-13.5921734296946-6.00039538495533j</v>
      </c>
      <c r="G263" s="159">
        <f t="shared" si="159"/>
        <v>23.439044960913044</v>
      </c>
      <c r="H263" s="159">
        <f t="shared" si="160"/>
        <v>-156.1804789900811</v>
      </c>
      <c r="J263" s="159">
        <f t="shared" si="161"/>
        <v>6.3936063936063938</v>
      </c>
      <c r="K263" s="159" t="str">
        <f t="shared" si="162"/>
        <v>1+1470.30688315253j</v>
      </c>
      <c r="L263" s="159">
        <f t="shared" si="163"/>
        <v>-21151.661665062511</v>
      </c>
      <c r="M263" s="159" t="str">
        <f t="shared" si="164"/>
        <v>16.0664632652843j</v>
      </c>
      <c r="N263" s="159" t="str">
        <f t="shared" si="165"/>
        <v>-21151.6616650625+16.0664632652843j</v>
      </c>
      <c r="O263" s="159" t="str">
        <f t="shared" si="166"/>
        <v>5.52304034569379E-06-0.0695125904384808j</v>
      </c>
      <c r="P263" s="159" t="str">
        <f t="shared" si="167"/>
        <v>0.0000353121460663739-0.444436142663614j</v>
      </c>
      <c r="R263" s="159">
        <f t="shared" si="168"/>
        <v>31.968031968031973</v>
      </c>
      <c r="S263" s="159" t="str">
        <f t="shared" si="169"/>
        <v>1+0.210013838473437j</v>
      </c>
      <c r="T263" s="159" t="str">
        <f t="shared" si="170"/>
        <v>-21151.6616650625+16.0664632652843j</v>
      </c>
      <c r="U263" s="159" t="str">
        <f t="shared" si="171"/>
        <v>-0.0000472700403311397-9.96485780538524E-06j</v>
      </c>
      <c r="V263" s="159" t="str">
        <f t="shared" si="172"/>
        <v>-0.00151113016043603-0.000318556892879448j</v>
      </c>
      <c r="X263" s="159" t="str">
        <f t="shared" si="173"/>
        <v>-0.104552854783618+0.236783558950731j</v>
      </c>
      <c r="Y263" s="159">
        <f t="shared" si="174"/>
        <v>-11.73939761104654</v>
      </c>
      <c r="Z263" s="159">
        <f t="shared" si="175"/>
        <v>-66.175926621952911</v>
      </c>
      <c r="AB263" s="159" t="str">
        <f t="shared" si="176"/>
        <v>-0.000665549509110782-0.000140302529345716j</v>
      </c>
      <c r="AC263" s="159">
        <f t="shared" si="177"/>
        <v>-63.347559300201787</v>
      </c>
      <c r="AD263" s="159">
        <f t="shared" si="178"/>
        <v>11.904059463198536</v>
      </c>
      <c r="AF263" s="159" t="str">
        <f t="shared" si="179"/>
        <v>-0.000733408993366275+0.0000372514027748262j</v>
      </c>
      <c r="AG263" s="159">
        <f t="shared" si="180"/>
        <v>-62.681885700947703</v>
      </c>
      <c r="AH263" s="159">
        <f t="shared" si="181"/>
        <v>-2.9076757843973837</v>
      </c>
      <c r="AJ263" s="159" t="str">
        <f t="shared" si="182"/>
        <v>115.853968511967-4270.07937849109j</v>
      </c>
      <c r="AK263" s="159" t="str">
        <f t="shared" si="183"/>
        <v>29999.999999999-0.00540035584645962j</v>
      </c>
      <c r="AL263" s="159" t="str">
        <f t="shared" si="197"/>
        <v>10000-3703.45965499866j</v>
      </c>
      <c r="AM263" s="159" t="str">
        <f t="shared" si="198"/>
        <v>215.575498682452-1550.79244626278j</v>
      </c>
      <c r="AN263" s="159" t="str">
        <f t="shared" si="199"/>
        <v>10215.5754986825-1550.79244626278j</v>
      </c>
      <c r="AO263" s="159" t="str">
        <f t="shared" si="200"/>
        <v>7653.84045502524-861.712628251339j</v>
      </c>
      <c r="AP263" s="159" t="str">
        <f t="shared" si="201"/>
        <v>0.97652109550435+0.13845937990469j</v>
      </c>
      <c r="AQ263" s="159" t="str">
        <f t="shared" si="184"/>
        <v>1+599.439498957037j</v>
      </c>
      <c r="AR263" s="159">
        <f t="shared" si="185"/>
        <v>-5.3953010046526112E-2</v>
      </c>
      <c r="AS263" s="159" t="str">
        <f t="shared" si="186"/>
        <v>0.0163510174200494j</v>
      </c>
      <c r="AT263" s="159" t="str">
        <f t="shared" si="187"/>
        <v>-0.0539530100465261+0.0163510174200494j</v>
      </c>
      <c r="AU263" s="159" t="str">
        <f t="shared" si="188"/>
        <v>0.460035771711319-1.52714133753438j</v>
      </c>
      <c r="AW263" s="159" t="str">
        <f t="shared" si="202"/>
        <v>-0.328416931824513-0.183107153905841j</v>
      </c>
      <c r="AX263" s="159">
        <f t="shared" si="189"/>
        <v>-8.4959386574654818</v>
      </c>
      <c r="AY263" s="159">
        <f t="shared" si="190"/>
        <v>29.141625063057347</v>
      </c>
      <c r="AZ263" s="159" t="str">
        <f t="shared" si="191"/>
        <v>0.000192887330925189+0.000167944602611644j</v>
      </c>
      <c r="BA263" s="159">
        <f t="shared" si="192"/>
        <v>-71.843497957667239</v>
      </c>
      <c r="BB263" s="159">
        <f t="shared" si="193"/>
        <v>-138.95431547374403</v>
      </c>
      <c r="BD263" s="159" t="str">
        <f t="shared" si="194"/>
        <v>0.000247684929714955+0.000122058442018779j</v>
      </c>
      <c r="BE263" s="159">
        <f t="shared" si="195"/>
        <v>-71.17782435841319</v>
      </c>
      <c r="BF263" s="159">
        <f t="shared" si="196"/>
        <v>-153.76605072134001</v>
      </c>
      <c r="BH263" s="159">
        <f t="shared" si="203"/>
        <v>72.17782435841319</v>
      </c>
      <c r="BI263" s="169">
        <f t="shared" si="204"/>
        <v>153.76605072134001</v>
      </c>
      <c r="BN263" s="165"/>
      <c r="BO263" s="165"/>
      <c r="BP263" s="165"/>
    </row>
    <row r="264" spans="1:68" s="159" customFormat="1">
      <c r="A264" s="159">
        <v>200</v>
      </c>
      <c r="B264" s="159">
        <f t="shared" si="154"/>
        <v>1000000</v>
      </c>
      <c r="C264" s="159" t="str">
        <f t="shared" si="155"/>
        <v>6283185.30717959j</v>
      </c>
      <c r="D264" s="159">
        <f t="shared" si="156"/>
        <v>-15.000000000000028</v>
      </c>
      <c r="E264" s="159" t="str">
        <f t="shared" si="157"/>
        <v>-6.28318530717959j</v>
      </c>
      <c r="F264" s="159" t="str">
        <f t="shared" si="158"/>
        <v>-15-6.28318530717959j</v>
      </c>
      <c r="G264" s="159">
        <f t="shared" si="159"/>
        <v>24.223902378163331</v>
      </c>
      <c r="H264" s="159">
        <f t="shared" si="160"/>
        <v>-157.27221267397849</v>
      </c>
      <c r="J264" s="159">
        <f t="shared" si="161"/>
        <v>6.3936063936063938</v>
      </c>
      <c r="K264" s="159" t="str">
        <f t="shared" si="162"/>
        <v>1+1539.60031174475j</v>
      </c>
      <c r="L264" s="159">
        <f t="shared" si="163"/>
        <v>-23192.432306134844</v>
      </c>
      <c r="M264" s="159" t="str">
        <f t="shared" si="164"/>
        <v>16.8236523512903j</v>
      </c>
      <c r="N264" s="159" t="str">
        <f t="shared" si="165"/>
        <v>-23192.4323061348+16.8236523512903j</v>
      </c>
      <c r="O264" s="159" t="str">
        <f t="shared" si="166"/>
        <v>5.03685164541852E-06-0.0663837327057438j</v>
      </c>
      <c r="P264" s="159" t="str">
        <f t="shared" si="167"/>
        <v>0.0000322036468837947-0.424431457858901j</v>
      </c>
      <c r="R264" s="159">
        <f t="shared" si="168"/>
        <v>31.968031968031973</v>
      </c>
      <c r="S264" s="159" t="str">
        <f t="shared" si="169"/>
        <v>1+0.219911485751286j</v>
      </c>
      <c r="T264" s="159" t="str">
        <f t="shared" si="170"/>
        <v>-23192.4323061348+16.8236523512903j</v>
      </c>
      <c r="U264" s="159" t="str">
        <f t="shared" si="171"/>
        <v>-0.0000431106120396172-9.51330851324851E-06j</v>
      </c>
      <c r="V264" s="159" t="str">
        <f t="shared" si="172"/>
        <v>-0.00137816142384391-0.000304121750673279j</v>
      </c>
      <c r="X264" s="159" t="str">
        <f t="shared" si="173"/>
        <v>-0.104552541449819+0.249547671371869j</v>
      </c>
      <c r="Y264" s="159">
        <f t="shared" si="174"/>
        <v>-11.354576282571234</v>
      </c>
      <c r="Z264" s="159">
        <f t="shared" si="175"/>
        <v>-67.267865368863141</v>
      </c>
      <c r="AB264" s="159" t="str">
        <f t="shared" si="176"/>
        <v>-0.000606985872646514-0.000133944836235754j</v>
      </c>
      <c r="AC264" s="159">
        <f t="shared" si="177"/>
        <v>-64.129931527076977</v>
      </c>
      <c r="AD264" s="159">
        <f t="shared" si="178"/>
        <v>12.444143083260315</v>
      </c>
      <c r="AF264" s="159" t="str">
        <f t="shared" si="179"/>
        <v>-0.000667688289869138+0.0000364903840994303j</v>
      </c>
      <c r="AG264" s="159">
        <f t="shared" si="180"/>
        <v>-63.495572539954296</v>
      </c>
      <c r="AH264" s="159">
        <f t="shared" si="181"/>
        <v>-3.1282069712955547</v>
      </c>
      <c r="AJ264" s="159" t="str">
        <f t="shared" si="182"/>
        <v>105.666914159051-4078.15809935105j</v>
      </c>
      <c r="AK264" s="159" t="str">
        <f t="shared" si="183"/>
        <v>29999.9999999989-0.00565486677646144j</v>
      </c>
      <c r="AL264" s="159" t="str">
        <f t="shared" si="197"/>
        <v>10000-3536.77651315322j</v>
      </c>
      <c r="AM264" s="159" t="str">
        <f t="shared" si="198"/>
        <v>200.55701239055-1488.69725792815j</v>
      </c>
      <c r="AN264" s="159" t="str">
        <f t="shared" si="199"/>
        <v>10200.5570123906-1488.69725792815j</v>
      </c>
      <c r="AO264" s="159" t="str">
        <f t="shared" si="200"/>
        <v>7642.90984271319-827.922689362241j</v>
      </c>
      <c r="AP264" s="159" t="str">
        <f t="shared" si="201"/>
        <v>0.978534189629052+0.132553682365517j</v>
      </c>
      <c r="AQ264" s="159" t="str">
        <f t="shared" si="184"/>
        <v>1+627.690212187241j</v>
      </c>
      <c r="AR264" s="159">
        <f t="shared" si="185"/>
        <v>-5.9158308780129711E-2</v>
      </c>
      <c r="AS264" s="159" t="str">
        <f t="shared" si="186"/>
        <v>0.0171216171302113j</v>
      </c>
      <c r="AT264" s="159" t="str">
        <f t="shared" si="187"/>
        <v>-0.0591583087801297+0.0171216171302113j</v>
      </c>
      <c r="AU264" s="159" t="str">
        <f t="shared" si="188"/>
        <v>0.422686040622165-1.46921818872994j</v>
      </c>
      <c r="AW264" s="159" t="str">
        <f t="shared" si="202"/>
        <v>-0.307391234800406-0.156720871070997j</v>
      </c>
      <c r="AX264" s="159">
        <f t="shared" si="189"/>
        <v>-9.2426767215974071</v>
      </c>
      <c r="AY264" s="159">
        <f t="shared" si="190"/>
        <v>27.014383551068534</v>
      </c>
      <c r="AZ264" s="159" t="str">
        <f t="shared" si="191"/>
        <v>0.000165590185488885+0.000136300823294597j</v>
      </c>
      <c r="BA264" s="159">
        <f t="shared" si="192"/>
        <v>-73.372608248674396</v>
      </c>
      <c r="BB264" s="159">
        <f t="shared" si="193"/>
        <v>-140.54147336567132</v>
      </c>
      <c r="BD264" s="159" t="str">
        <f t="shared" si="194"/>
        <v>0.000210960332666424+0.00009342386616553j</v>
      </c>
      <c r="BE264" s="159">
        <f t="shared" si="195"/>
        <v>-72.738249261551701</v>
      </c>
      <c r="BF264" s="159">
        <f t="shared" si="196"/>
        <v>-156.11382342022722</v>
      </c>
      <c r="BH264" s="159">
        <f t="shared" si="203"/>
        <v>73.738249261551701</v>
      </c>
      <c r="BI264" s="169">
        <f t="shared" si="204"/>
        <v>156.11382342022722</v>
      </c>
      <c r="BN264" s="165"/>
      <c r="BO264" s="165"/>
      <c r="BP264" s="165"/>
    </row>
    <row r="265" spans="1:68" s="81" customFormat="1">
      <c r="BN265" s="42"/>
      <c r="BO265" s="42"/>
      <c r="BP265" s="42"/>
    </row>
    <row r="266" spans="1:68" s="81" customFormat="1">
      <c r="BN266" s="42"/>
      <c r="BO266" s="42"/>
      <c r="BP266" s="42"/>
    </row>
    <row r="267" spans="1:68" s="81" customFormat="1">
      <c r="BN267" s="42"/>
      <c r="BO267" s="42"/>
      <c r="BP267" s="42"/>
    </row>
    <row r="268" spans="1:68" s="81" customFormat="1">
      <c r="BN268" s="42"/>
      <c r="BO268" s="42"/>
      <c r="BP268" s="42"/>
    </row>
    <row r="269" spans="1:68" s="81" customFormat="1">
      <c r="BN269" s="42"/>
      <c r="BO269" s="42"/>
      <c r="BP269" s="42"/>
    </row>
    <row r="270" spans="1:68" s="81" customFormat="1">
      <c r="BN270" s="42"/>
      <c r="BO270" s="42"/>
      <c r="BP270" s="42"/>
    </row>
    <row r="271" spans="1:68" s="81" customFormat="1">
      <c r="BN271" s="42"/>
      <c r="BO271" s="42"/>
      <c r="BP271" s="42"/>
    </row>
    <row r="272" spans="1:68" s="81" customFormat="1">
      <c r="BN272" s="42"/>
      <c r="BO272" s="42"/>
      <c r="BP272" s="42"/>
    </row>
    <row r="273" spans="1:68" s="81" customFormat="1">
      <c r="BN273" s="42"/>
      <c r="BO273" s="42"/>
      <c r="BP273" s="42"/>
    </row>
    <row r="274" spans="1:68" s="81" customFormat="1">
      <c r="BN274" s="42"/>
      <c r="BO274" s="42"/>
      <c r="BP274" s="42"/>
    </row>
    <row r="275" spans="1:68" s="41" customFormat="1">
      <c r="A275" s="84"/>
      <c r="B275" s="84"/>
      <c r="C275" s="84"/>
      <c r="D275" s="84"/>
      <c r="E275" s="84"/>
      <c r="F275" s="84"/>
      <c r="G275" s="84"/>
      <c r="H275" s="84"/>
      <c r="I275" s="84"/>
      <c r="J275" s="84"/>
      <c r="BN275" s="42"/>
      <c r="BO275" s="42"/>
      <c r="BP275" s="42"/>
    </row>
    <row r="276" spans="1:68" s="41" customFormat="1">
      <c r="A276" s="84"/>
      <c r="B276" s="84"/>
      <c r="C276" s="84"/>
      <c r="D276" s="84"/>
      <c r="E276" s="84"/>
      <c r="F276" s="84"/>
      <c r="G276" s="84"/>
      <c r="H276" s="84"/>
      <c r="I276" s="84"/>
      <c r="J276" s="84"/>
      <c r="BN276" s="42"/>
      <c r="BO276" s="42"/>
      <c r="BP276" s="42"/>
    </row>
    <row r="277" spans="1:68" s="41" customFormat="1">
      <c r="A277" s="84"/>
      <c r="B277" s="84"/>
      <c r="C277" s="84"/>
      <c r="D277" s="84"/>
      <c r="E277" s="84"/>
      <c r="F277" s="84"/>
      <c r="G277" s="84"/>
      <c r="H277" s="84"/>
      <c r="I277" s="84"/>
      <c r="J277" s="84"/>
      <c r="BN277" s="42"/>
      <c r="BO277" s="42"/>
      <c r="BP277" s="42"/>
    </row>
    <row r="278" spans="1:68" s="41" customFormat="1">
      <c r="A278" s="84"/>
      <c r="B278" s="84"/>
      <c r="C278" s="84"/>
      <c r="D278" s="84"/>
      <c r="E278" s="84"/>
      <c r="F278" s="84"/>
      <c r="G278" s="84"/>
      <c r="H278" s="84"/>
      <c r="I278" s="84"/>
      <c r="J278" s="84"/>
      <c r="BN278" s="42"/>
      <c r="BO278" s="42"/>
      <c r="BP278" s="42"/>
    </row>
    <row r="279" spans="1:68" s="41" customFormat="1">
      <c r="BN279" s="42"/>
      <c r="BO279" s="42"/>
      <c r="BP279" s="42"/>
    </row>
    <row r="280" spans="1:68">
      <c r="BN280" s="42"/>
      <c r="BO280" s="42"/>
      <c r="BP280" s="42"/>
    </row>
    <row r="281" spans="1:68">
      <c r="BN281" s="42"/>
      <c r="BO281" s="42"/>
      <c r="BP281" s="42"/>
    </row>
    <row r="282" spans="1:68">
      <c r="BN282" s="42"/>
      <c r="BO282" s="42"/>
      <c r="BP282" s="42"/>
    </row>
    <row r="283" spans="1:68">
      <c r="BN283" s="42"/>
      <c r="BO283" s="42"/>
      <c r="BP283" s="42"/>
    </row>
    <row r="284" spans="1:68">
      <c r="BN284" s="42"/>
      <c r="BO284" s="42"/>
      <c r="BP284" s="42"/>
    </row>
    <row r="285" spans="1:68">
      <c r="BN285" s="42"/>
      <c r="BO285" s="42"/>
      <c r="BP285" s="42"/>
    </row>
    <row r="286" spans="1:68">
      <c r="BN286" s="42"/>
      <c r="BO286" s="42"/>
      <c r="BP286" s="42"/>
    </row>
    <row r="287" spans="1:68">
      <c r="BN287" s="42"/>
      <c r="BO287" s="42"/>
      <c r="BP287" s="42"/>
    </row>
    <row r="288" spans="1:68">
      <c r="BN288" s="42"/>
      <c r="BO288" s="42"/>
      <c r="BP288" s="42"/>
    </row>
    <row r="289" spans="66:68">
      <c r="BN289" s="42"/>
      <c r="BO289" s="42"/>
      <c r="BP289" s="42"/>
    </row>
    <row r="290" spans="66:68">
      <c r="BN290" s="42"/>
      <c r="BO290" s="42"/>
      <c r="BP290" s="42"/>
    </row>
    <row r="291" spans="66:68">
      <c r="BN291" s="42"/>
      <c r="BO291" s="42"/>
      <c r="BP291" s="42"/>
    </row>
    <row r="292" spans="66:68">
      <c r="BN292" s="42"/>
      <c r="BO292" s="42"/>
      <c r="BP292" s="42"/>
    </row>
    <row r="293" spans="66:68">
      <c r="BN293" s="42"/>
      <c r="BO293" s="42"/>
      <c r="BP293" s="42"/>
    </row>
    <row r="294" spans="66:68">
      <c r="BN294" s="42"/>
      <c r="BO294" s="42"/>
      <c r="BP294" s="42"/>
    </row>
    <row r="295" spans="66:68">
      <c r="BN295" s="42"/>
      <c r="BO295" s="42"/>
      <c r="BP295" s="42"/>
    </row>
    <row r="296" spans="66:68">
      <c r="BN296" s="42"/>
      <c r="BO296" s="42"/>
      <c r="BP296" s="42"/>
    </row>
    <row r="297" spans="66:68">
      <c r="BN297" s="42"/>
      <c r="BO297" s="42"/>
      <c r="BP297" s="42"/>
    </row>
    <row r="298" spans="66:68">
      <c r="BN298" s="42"/>
      <c r="BO298" s="42"/>
      <c r="BP298" s="42"/>
    </row>
    <row r="299" spans="66:68">
      <c r="BN299" s="42"/>
      <c r="BO299" s="42"/>
      <c r="BP299" s="42"/>
    </row>
    <row r="300" spans="66:68">
      <c r="BN300" s="42"/>
      <c r="BO300" s="42"/>
      <c r="BP300" s="42"/>
    </row>
    <row r="301" spans="66:68">
      <c r="BN301" s="42"/>
      <c r="BO301" s="42"/>
      <c r="BP301" s="42"/>
    </row>
  </sheetData>
  <sheetProtection password="C6F9" sheet="1" objects="1" scenarios="1" selectLockedCells="1"/>
  <mergeCells count="18">
    <mergeCell ref="A19:E19"/>
    <mergeCell ref="J19:N19"/>
    <mergeCell ref="O19:P19"/>
    <mergeCell ref="BN1:BP1"/>
    <mergeCell ref="A16:N16"/>
    <mergeCell ref="O16:P17"/>
    <mergeCell ref="A17:N17"/>
    <mergeCell ref="O18:P18"/>
    <mergeCell ref="A32:B32"/>
    <mergeCell ref="A33:B33"/>
    <mergeCell ref="A34:B34"/>
    <mergeCell ref="AV62:AW62"/>
    <mergeCell ref="J20:L20"/>
    <mergeCell ref="O20:P21"/>
    <mergeCell ref="J27:L27"/>
    <mergeCell ref="M27:N27"/>
    <mergeCell ref="A30:G30"/>
    <mergeCell ref="A31:B31"/>
  </mergeCells>
  <conditionalFormatting sqref="M35">
    <cfRule type="cellIs" dxfId="1" priority="2" operator="lessThan">
      <formula>45</formula>
    </cfRule>
  </conditionalFormatting>
  <conditionalFormatting sqref="M36">
    <cfRule type="cellIs" dxfId="0" priority="1" operator="greaterThan">
      <formula>-10</formula>
    </cfRule>
  </conditionalFormatting>
  <pageMargins left="0.7" right="0.7" top="0.75" bottom="0.75" header="0.3" footer="0.3"/>
  <pageSetup orientation="portrait" verticalDpi="598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2B16B4-0DBA-4A31-B11F-56C474B4A1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17D604D-EFDA-4E89-941D-7AAFDE34B902}">
  <ds:schemaRefs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9B92260-05D1-4F8A-8B83-6DD6EBA7F7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47</vt:i4>
      </vt:variant>
    </vt:vector>
  </HeadingPairs>
  <TitlesOfParts>
    <vt:vector size="50" baseType="lpstr">
      <vt:lpstr>Power Loss</vt:lpstr>
      <vt:lpstr>Efficiency Summary</vt:lpstr>
      <vt:lpstr>Compensation</vt:lpstr>
      <vt:lpstr>_Cap1</vt:lpstr>
      <vt:lpstr>_cap2</vt:lpstr>
      <vt:lpstr>_Cfb1</vt:lpstr>
      <vt:lpstr>_Cfb2</vt:lpstr>
      <vt:lpstr>_res1</vt:lpstr>
      <vt:lpstr>_Rfb1</vt:lpstr>
      <vt:lpstr>_Rfb2</vt:lpstr>
      <vt:lpstr>Cap</vt:lpstr>
      <vt:lpstr>D</vt:lpstr>
      <vt:lpstr>DCR</vt:lpstr>
      <vt:lpstr>Dmax</vt:lpstr>
      <vt:lpstr>EA_BW</vt:lpstr>
      <vt:lpstr>EA_DC</vt:lpstr>
      <vt:lpstr>Efficiency</vt:lpstr>
      <vt:lpstr>ESR</vt:lpstr>
      <vt:lpstr>F0</vt:lpstr>
      <vt:lpstr>Fc</vt:lpstr>
      <vt:lpstr>Fm</vt:lpstr>
      <vt:lpstr>Fs</vt:lpstr>
      <vt:lpstr>Fstart</vt:lpstr>
      <vt:lpstr>Fstep</vt:lpstr>
      <vt:lpstr>Fstop</vt:lpstr>
      <vt:lpstr>Gdo</vt:lpstr>
      <vt:lpstr>Il_rms</vt:lpstr>
      <vt:lpstr>Imax</vt:lpstr>
      <vt:lpstr>Imin</vt:lpstr>
      <vt:lpstr>Iout</vt:lpstr>
      <vt:lpstr>Irip</vt:lpstr>
      <vt:lpstr>Iu_rms</vt:lpstr>
      <vt:lpstr>LIR</vt:lpstr>
      <vt:lpstr>Lout</vt:lpstr>
      <vt:lpstr>ncap</vt:lpstr>
      <vt:lpstr>Q</vt:lpstr>
      <vt:lpstr>Qn</vt:lpstr>
      <vt:lpstr>Roerr</vt:lpstr>
      <vt:lpstr>Ron_l</vt:lpstr>
      <vt:lpstr>Ron_u</vt:lpstr>
      <vt:lpstr>Rout</vt:lpstr>
      <vt:lpstr>RT</vt:lpstr>
      <vt:lpstr>Se</vt:lpstr>
      <vt:lpstr>Sn</vt:lpstr>
      <vt:lpstr>Step</vt:lpstr>
      <vt:lpstr>Tloss</vt:lpstr>
      <vt:lpstr>VFB</vt:lpstr>
      <vt:lpstr>Vin</vt:lpstr>
      <vt:lpstr>Vout</vt:lpstr>
      <vt:lpstr>wn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 Bui/Analog/DAL</dc:creator>
  <cp:lastModifiedBy>Diodes</cp:lastModifiedBy>
  <dcterms:created xsi:type="dcterms:W3CDTF">2017-12-13T19:19:46Z</dcterms:created>
  <dcterms:modified xsi:type="dcterms:W3CDTF">2022-11-14T21:00:41Z</dcterms:modified>
</cp:coreProperties>
</file>